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ПП ХВС (ВО)" sheetId="1" r:id="rId1"/>
  </sheets>
  <externalReferences>
    <externalReference r:id="rId2"/>
    <externalReference r:id="rId3"/>
    <externalReference r:id="rId4"/>
  </externalReferences>
  <definedNames>
    <definedName name="__IntlFixup" hidden="1">TRUE</definedName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tivity">[1]Титульный!$F$18</definedName>
    <definedName name="anscount" hidden="1">1</definedName>
    <definedName name="base_operation">[1]Списки!$H$4:$H$8</definedName>
    <definedName name="base_rasred">[1]Списки!$L$4:$L$7</definedName>
    <definedName name="Button_1">"НоваяОборотка_Лист1_Таблица"</definedName>
    <definedName name="DPR_LIST_VO">[1]TECHSHEET!$H$68:$H$85</definedName>
    <definedName name="DPR_LIST_VS">[1]TECHSHEET!$G$68:$G$94</definedName>
    <definedName name="END_COLUMN_PP_HVS_VO">'ПП ХВС (ВО)'!$V$14</definedName>
    <definedName name="END_ROW_PP_HVS_VO">'ПП ХВС (ВО)'!$G$106</definedName>
    <definedName name="ESTIMATE_ADJUSTMENT">[1]Смета!$J$27,[1]Смета!$L$27:$M$27,[1]Смета!$J$37,[1]Смета!$L$37,[1]Смета!$M$37,[1]Смета!$M$39:$M$42,[1]Смета!$L$39:$L$42,[1]Смета!$J$39:$J$42,[1]Смета!$M$45,[1]Смета!$L$45,[1]Смета!$J$45,[1]Смета!$M$47:$M$49,[1]Смета!$L$47:$L$49,[1]Смета!$J$47:$J$49,[1]Смета!$M$51:$M$56,[1]Смета!$L$51:$L$56,[1]Смета!$J$51:$J$56,[1]Смета!$J$57,[1]Смета!$L$57:$M$57</definedName>
    <definedName name="FIRST_PERIOD_IN_LT">[1]Титульный!$F$27</definedName>
    <definedName name="god">[1]Титульный!$F$14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IER_CP">[1]ИЭР!$H$34</definedName>
    <definedName name="inn">[1]Титульный!$F$56</definedName>
    <definedName name="kpp">[1]Титульный!$F$57</definedName>
    <definedName name="limcount" hidden="1">1</definedName>
    <definedName name="list_method_old">[1]Списки!$C$12:$C$15</definedName>
    <definedName name="logic">[1]TECHSHEET!$E$2:$E$3</definedName>
    <definedName name="MmExcelLinker_6E24F10A_D93B_4197_A91F_1E8C46B84DD5">РТ передача [2]ээ!$I$76:$I$76</definedName>
    <definedName name="mo">[1]Титульный!$F$47</definedName>
    <definedName name="MONTH">[1]TECHSHEET!$D$2:$D$13</definedName>
    <definedName name="MONTHS">[1]TECHSHEET!$G$13:$G$24</definedName>
    <definedName name="MONTHS_PERIOD_LENGTH">[1]Титульный!$F$41</definedName>
    <definedName name="mr">[1]Титульный!$F$46</definedName>
    <definedName name="MR_LIST">[1]REESTR_MO!$E$2:$E$31</definedName>
    <definedName name="NALOG_LIST">[1]TECHSHEET!$Y$2:$Y$7</definedName>
    <definedName name="NDS">[1]Титульный!$F$64</definedName>
    <definedName name="OKATO">[1]Титульный!$F$61</definedName>
    <definedName name="OKOG">[1]Титульный!$F$62</definedName>
    <definedName name="OKPO">[1]Титульный!$F$60</definedName>
    <definedName name="oktmo">[1]Титульный!$F$48</definedName>
    <definedName name="org">[1]Титульный!$F$50</definedName>
    <definedName name="OVERHAUL_LIST">[1]TECHSHEET!$AB$17:$AB$18</definedName>
    <definedName name="p1_rst_1">[3]Лист2!$A$1</definedName>
    <definedName name="P12_T28_Protection">P1_T28_Protection,P2_T28_Protection,P3_T28_Protection,P4_T28_Protection,P5_T28_Protection,P6_T28_Protection,P7_T28_Protection,P8_T28_Protection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ERIOD_LENGTH">[1]Титульный!$F$29</definedName>
    <definedName name="POSSIBLE_PERIOD_LENGTH">[1]TECHSHEET!$L$2:$L$4</definedName>
    <definedName name="PREVIOUS_PERIOD_LENGTH">[1]Титульный!$F$39</definedName>
    <definedName name="PREVIOUS_REGULATION_METHODS">[1]Титульный!$F$37</definedName>
    <definedName name="PROT_22">P3_PROT_22,P4_PROT_22,P5_PROT_22</definedName>
    <definedName name="reagenty_list">[1]TECHSHEET!$AD$2:$AD$107</definedName>
    <definedName name="region_name">[1]Титульный!$F$8</definedName>
    <definedName name="REGULATION_METHODS">[1]Титульный!$F$25</definedName>
    <definedName name="REPORT_OWNER">[1]Титульный!$F$12</definedName>
    <definedName name="RESOURCE_IDENTIFIER">[1]Титульный!$J$16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encount" hidden="1">1</definedName>
    <definedName name="sphere">[1]Титульный!$F$16</definedName>
    <definedName name="T17_Protection">P2_T17_Protection,P3_T17_Protection,P4_T17_Protection,P5_T17_Protection,P6_T17_Protection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21_Protection">P2_T21_Protection,P3_T21_Protection</definedName>
    <definedName name="T25_protection">P1_T25_protection,P2_T25_protection</definedName>
    <definedName name="T28_Protection">P9_T28_Protection,P10_T28_Protection,P11_T28_Protection,P12_T28_Protection</definedName>
    <definedName name="T6_Protect">P1_T6_Protect,P2_T6_Protect</definedName>
    <definedName name="TEMPLATE_SPHERE">[1]Титульный!$H$16</definedName>
    <definedName name="TEMPLATE_SPHERE_CODE">[1]Титульный!$I$16</definedName>
    <definedName name="TITLE_CONTACTS_DATA">[1]Титульный!$F$70:$F$71,[1]Титульный!$F$73:$F$77,[1]Титульный!$F$79:$F$80,[1]Титульный!$F$82:$F$85</definedName>
    <definedName name="TOTAL">P1_TOTAL,P2_TOTAL,P3_TOTAL,P4_TOTAL,P5_TOTAL</definedName>
    <definedName name="TYPE">[1]Титульный!$F$31</definedName>
    <definedName name="TYPE_WATER">[1]Титульный!$F$22</definedName>
    <definedName name="VDET">[1]Титульный!$F$20</definedName>
    <definedName name="vid_stokov_list">[1]TECHSHEET!$AB$2:$AB$7</definedName>
    <definedName name="VOLTAGE_LEVEL">[1]TECHSHEET!$G$30:$G$34</definedName>
    <definedName name="YEAR">[1]TECHSHEET!$C$8:$C$13</definedName>
    <definedName name="выавыа" hidden="1">P13_T16?item_ext?ЧЕЛ,P14_T16?item_ext?ЧЕЛ,P15_T16?item_ext?ЧЕЛ,P16_T16?item_ext?ЧЕЛ,P17_T16?item_ext?ЧЕЛ,P18_T16?item_ext?ЧЕЛ,P19_T16?item_ext?ЧЕЛ</definedName>
    <definedName name="й">P1_SCOPE_16_PRT,P2_SCOPE_16_PRT</definedName>
    <definedName name="мрпоп">P1_SCOPE_16_PRT,P2_SCOPE_16_PRT</definedName>
    <definedName name="н">P1_T2.1?Protection</definedName>
    <definedName name="_xlnm.Print_Area" localSheetId="0">'ПП ХВС (ВО)'!$F$13:$P$105</definedName>
    <definedName name="_xlnm.Print_Area">#REF!</definedName>
    <definedName name="р">P5_SCOPE_PER_PRT,P6_SCOPE_PER_PRT,P7_SCOPE_PER_PRT,P8_SCOPE_PER_PRT</definedName>
  </definedNames>
  <calcPr calcId="125725"/>
</workbook>
</file>

<file path=xl/calcChain.xml><?xml version="1.0" encoding="utf-8"?>
<calcChain xmlns="http://schemas.openxmlformats.org/spreadsheetml/2006/main">
  <c r="F13" i="1"/>
  <c r="M105" l="1"/>
  <c r="F104"/>
  <c r="P102"/>
  <c r="O102"/>
  <c r="N102"/>
  <c r="M102"/>
  <c r="P101"/>
  <c r="O101"/>
  <c r="N101"/>
  <c r="M101"/>
  <c r="L101"/>
  <c r="K101"/>
  <c r="L102" s="1"/>
  <c r="J101"/>
  <c r="G101"/>
  <c r="F101"/>
  <c r="P100"/>
  <c r="O100"/>
  <c r="N100"/>
  <c r="M100"/>
  <c r="P99"/>
  <c r="O99"/>
  <c r="N99"/>
  <c r="M99"/>
  <c r="L99"/>
  <c r="K99"/>
  <c r="L100" s="1"/>
  <c r="J99"/>
  <c r="G99"/>
  <c r="F99"/>
  <c r="P98"/>
  <c r="O98"/>
  <c r="N98"/>
  <c r="M98"/>
  <c r="A98"/>
  <c r="P97"/>
  <c r="O97"/>
  <c r="N97"/>
  <c r="M97"/>
  <c r="L97"/>
  <c r="K97"/>
  <c r="L98" s="1"/>
  <c r="J97"/>
  <c r="A97"/>
  <c r="P95"/>
  <c r="O95"/>
  <c r="N95"/>
  <c r="M95"/>
  <c r="P94"/>
  <c r="O94"/>
  <c r="N94"/>
  <c r="M94"/>
  <c r="L94"/>
  <c r="K94"/>
  <c r="L95" s="1"/>
  <c r="J94"/>
  <c r="G94"/>
  <c r="P92"/>
  <c r="O92"/>
  <c r="N92"/>
  <c r="M92"/>
  <c r="A92"/>
  <c r="P91"/>
  <c r="O91"/>
  <c r="N91"/>
  <c r="M91"/>
  <c r="L91"/>
  <c r="K91"/>
  <c r="L92" s="1"/>
  <c r="J91"/>
  <c r="A91"/>
  <c r="P90"/>
  <c r="O90"/>
  <c r="N90"/>
  <c r="M90"/>
  <c r="A90"/>
  <c r="P89"/>
  <c r="O89"/>
  <c r="N89"/>
  <c r="M89"/>
  <c r="L89"/>
  <c r="K89"/>
  <c r="L90" s="1"/>
  <c r="J89"/>
  <c r="A89"/>
  <c r="P88"/>
  <c r="O88"/>
  <c r="N88"/>
  <c r="M88"/>
  <c r="A88"/>
  <c r="P87"/>
  <c r="O87"/>
  <c r="N87"/>
  <c r="M87"/>
  <c r="L87"/>
  <c r="K87"/>
  <c r="J87"/>
  <c r="A87"/>
  <c r="A86"/>
  <c r="P85"/>
  <c r="O85"/>
  <c r="N85"/>
  <c r="M85"/>
  <c r="A85"/>
  <c r="P84"/>
  <c r="O84"/>
  <c r="N84"/>
  <c r="M84"/>
  <c r="L84"/>
  <c r="K84"/>
  <c r="L85" s="1"/>
  <c r="J84"/>
  <c r="A84"/>
  <c r="P83"/>
  <c r="O83"/>
  <c r="N83"/>
  <c r="M83"/>
  <c r="A83"/>
  <c r="P82"/>
  <c r="O82"/>
  <c r="N82"/>
  <c r="M82"/>
  <c r="L82"/>
  <c r="K82"/>
  <c r="L83" s="1"/>
  <c r="J82"/>
  <c r="A82"/>
  <c r="A81"/>
  <c r="P80"/>
  <c r="O80"/>
  <c r="N80"/>
  <c r="M80"/>
  <c r="L80"/>
  <c r="K80"/>
  <c r="J80"/>
  <c r="P76"/>
  <c r="N76"/>
  <c r="L76"/>
  <c r="J76"/>
  <c r="H76"/>
  <c r="P75"/>
  <c r="N75"/>
  <c r="L75"/>
  <c r="J75"/>
  <c r="H75"/>
  <c r="P74"/>
  <c r="N74"/>
  <c r="L74"/>
  <c r="J74"/>
  <c r="H74"/>
  <c r="N73"/>
  <c r="K73"/>
  <c r="A73"/>
  <c r="N72"/>
  <c r="K72"/>
  <c r="A72"/>
  <c r="N71"/>
  <c r="M71"/>
  <c r="L71"/>
  <c r="K71"/>
  <c r="L69"/>
  <c r="K69"/>
  <c r="I69"/>
  <c r="P73" s="1"/>
  <c r="H69"/>
  <c r="A69"/>
  <c r="O68"/>
  <c r="N68"/>
  <c r="L68"/>
  <c r="P72" s="1"/>
  <c r="K68"/>
  <c r="I68"/>
  <c r="O71" s="1"/>
  <c r="H68"/>
  <c r="N67"/>
  <c r="K67"/>
  <c r="A67"/>
  <c r="N66"/>
  <c r="K66"/>
  <c r="A66"/>
  <c r="P65"/>
  <c r="O65"/>
  <c r="N65"/>
  <c r="M65"/>
  <c r="L65"/>
  <c r="K65"/>
  <c r="L63"/>
  <c r="K63"/>
  <c r="I63"/>
  <c r="P67" s="1"/>
  <c r="H63"/>
  <c r="A63"/>
  <c r="O62"/>
  <c r="N62"/>
  <c r="L62"/>
  <c r="P66" s="1"/>
  <c r="K62"/>
  <c r="I62"/>
  <c r="M66" s="1"/>
  <c r="H62"/>
  <c r="K60"/>
  <c r="I60"/>
  <c r="A60"/>
  <c r="K59"/>
  <c r="I59"/>
  <c r="A59"/>
  <c r="K58"/>
  <c r="I58"/>
  <c r="A58"/>
  <c r="K57"/>
  <c r="I57"/>
  <c r="A57"/>
  <c r="K56"/>
  <c r="L57" s="1"/>
  <c r="I56"/>
  <c r="A56"/>
  <c r="K55"/>
  <c r="I55"/>
  <c r="A55"/>
  <c r="K54"/>
  <c r="I54"/>
  <c r="A54"/>
  <c r="K53"/>
  <c r="I53"/>
  <c r="A53"/>
  <c r="K52"/>
  <c r="I52"/>
  <c r="A52"/>
  <c r="K51"/>
  <c r="I51"/>
  <c r="A51"/>
  <c r="K50"/>
  <c r="I50"/>
  <c r="A50"/>
  <c r="K49"/>
  <c r="I49"/>
  <c r="A49"/>
  <c r="K48"/>
  <c r="I48"/>
  <c r="A48"/>
  <c r="K47"/>
  <c r="L59" s="1"/>
  <c r="I47"/>
  <c r="J59" s="1"/>
  <c r="A47"/>
  <c r="K46"/>
  <c r="I46"/>
  <c r="A46"/>
  <c r="K45"/>
  <c r="I45"/>
  <c r="A45"/>
  <c r="K44"/>
  <c r="I44"/>
  <c r="A44"/>
  <c r="K43"/>
  <c r="I43"/>
  <c r="A43"/>
  <c r="K42"/>
  <c r="I42"/>
  <c r="A42"/>
  <c r="K41"/>
  <c r="I41"/>
  <c r="A41"/>
  <c r="K40"/>
  <c r="L45" s="1"/>
  <c r="I40"/>
  <c r="J45" s="1"/>
  <c r="A40"/>
  <c r="K39"/>
  <c r="I39"/>
  <c r="A39"/>
  <c r="K38"/>
  <c r="L39" s="1"/>
  <c r="I38"/>
  <c r="J39" s="1"/>
  <c r="A38"/>
  <c r="K37"/>
  <c r="I37"/>
  <c r="A37"/>
  <c r="K36"/>
  <c r="I36"/>
  <c r="A36"/>
  <c r="K35"/>
  <c r="L37" s="1"/>
  <c r="I35"/>
  <c r="J37" s="1"/>
  <c r="A35"/>
  <c r="L34"/>
  <c r="K34"/>
  <c r="J34"/>
  <c r="I34"/>
  <c r="A34"/>
  <c r="M33"/>
  <c r="L33"/>
  <c r="K33"/>
  <c r="J33"/>
  <c r="I33"/>
  <c r="A33"/>
  <c r="M32"/>
  <c r="G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A25"/>
  <c r="H24"/>
  <c r="G24"/>
  <c r="F24"/>
  <c r="H23"/>
  <c r="G23"/>
  <c r="F23"/>
  <c r="H22"/>
  <c r="G22"/>
  <c r="F22"/>
  <c r="A22"/>
  <c r="H21"/>
  <c r="G21"/>
  <c r="F21"/>
  <c r="H20"/>
  <c r="G20"/>
  <c r="F20"/>
  <c r="H19"/>
  <c r="G19"/>
  <c r="F19"/>
  <c r="H17"/>
  <c r="H15"/>
  <c r="H14"/>
  <c r="D4"/>
  <c r="C3"/>
  <c r="O66" l="1"/>
  <c r="O73"/>
  <c r="J35"/>
  <c r="L35"/>
  <c r="J57"/>
  <c r="O67"/>
  <c r="M73"/>
  <c r="L88"/>
  <c r="J36"/>
  <c r="L36"/>
  <c r="J38"/>
  <c r="L38"/>
  <c r="J40"/>
  <c r="L40"/>
  <c r="J42"/>
  <c r="L42"/>
  <c r="J44"/>
  <c r="L44"/>
  <c r="J46"/>
  <c r="L46"/>
  <c r="J48"/>
  <c r="L48"/>
  <c r="J50"/>
  <c r="L50"/>
  <c r="J52"/>
  <c r="L52"/>
  <c r="J54"/>
  <c r="L54"/>
  <c r="J56"/>
  <c r="L56"/>
  <c r="J58"/>
  <c r="L58"/>
  <c r="J60"/>
  <c r="L60"/>
  <c r="L66"/>
  <c r="M67"/>
  <c r="P71"/>
  <c r="M72"/>
  <c r="O72"/>
  <c r="L73"/>
  <c r="J41"/>
  <c r="L41"/>
  <c r="J43"/>
  <c r="L43"/>
  <c r="J47"/>
  <c r="L47"/>
  <c r="J49"/>
  <c r="L49"/>
  <c r="J51"/>
  <c r="L51"/>
  <c r="J53"/>
  <c r="L53"/>
  <c r="J55"/>
  <c r="L55"/>
  <c r="L67"/>
  <c r="L72"/>
</calcChain>
</file>

<file path=xl/sharedStrings.xml><?xml version="1.0" encoding="utf-8"?>
<sst xmlns="http://schemas.openxmlformats.org/spreadsheetml/2006/main" count="156" uniqueCount="104">
  <si>
    <t>Приложение ____ к приказу Министерства строительства, жилищно-коммунального хозяйства и энергетики Удмуртской Республики от  2018 года № /</t>
  </si>
  <si>
    <t>Условия отображения столбцов</t>
  </si>
  <si>
    <t>Наименование регулируемой организации, в отношении которой разрабатывается производственная программа</t>
  </si>
  <si>
    <t>Местонахождение организации</t>
  </si>
  <si>
    <t>Наименование уполномоченного органа, утвердившего производственную программу, его местонахождение</t>
  </si>
  <si>
    <t>Министерство строительства, ЖКХ и энергетики УР, г. Ижевск, ул. Песочная, д.9</t>
  </si>
  <si>
    <t>Период реализации производственной программы</t>
  </si>
  <si>
    <t>I</t>
  </si>
  <si>
    <t>Краткая характеристика организации</t>
  </si>
  <si>
    <t>II</t>
  </si>
  <si>
    <t>№ п/п</t>
  </si>
  <si>
    <t xml:space="preserve">Наименование </t>
  </si>
  <si>
    <t>Предложение организации, 
тыс. куб.м, (%)</t>
  </si>
  <si>
    <t>Предложение Министерства, тыс. куб. м (%)</t>
  </si>
  <si>
    <t>1.</t>
  </si>
  <si>
    <t>Поднято воды из всех источников водоснабжения</t>
  </si>
  <si>
    <t xml:space="preserve">
объемы отпуска питьевой воды и потери воды приняты на уровне плановой величины, учтенной органом регулирования  в тарифе на 2018 год в связи с отсутствием подтверждающих документов</t>
  </si>
  <si>
    <t>2.</t>
  </si>
  <si>
    <t xml:space="preserve">Получено воды со стороны от других операторов </t>
  </si>
  <si>
    <t>3.</t>
  </si>
  <si>
    <t>Подано воды в сеть</t>
  </si>
  <si>
    <t>4.</t>
  </si>
  <si>
    <t xml:space="preserve">Потери воды </t>
  </si>
  <si>
    <t>5.</t>
  </si>
  <si>
    <t>Расход воды на собственные нужды (технологические, коммунально-бытовые нужды ОКК)</t>
  </si>
  <si>
    <t>6.</t>
  </si>
  <si>
    <t>Отпущено воды, всего, в т.ч.:</t>
  </si>
  <si>
    <t>6.1.</t>
  </si>
  <si>
    <t>на нужды предприятия (другие виды производственной деятельности)</t>
  </si>
  <si>
    <t>6.2.</t>
  </si>
  <si>
    <t>отпущено воды абонентам, в т.ч.:</t>
  </si>
  <si>
    <t>6.2.1.</t>
  </si>
  <si>
    <t>бюджетные потребители</t>
  </si>
  <si>
    <t>6.2.2.</t>
  </si>
  <si>
    <t>население, исполнители коммунальных услуг (УК, ТСЖ и пр.)</t>
  </si>
  <si>
    <t>6.2.3.</t>
  </si>
  <si>
    <t>прочие потребители</t>
  </si>
  <si>
    <t>Потери воды приняты на основании расчета организации (расчет произведен на основании Методических указаний по расчету потерь горячей, питьевой, технической воды в централизованных системах водоснабжения при ее производстве и транспортировке, утвержденных Приказом Минстроя России от 17.10.2014 № 640/пр)</t>
  </si>
  <si>
    <t>6.2.4.</t>
  </si>
  <si>
    <t>передано воды другим водопроводам</t>
  </si>
  <si>
    <t>7.</t>
  </si>
  <si>
    <t>Отпущено воды по приборам учета</t>
  </si>
  <si>
    <t>8.</t>
  </si>
  <si>
    <t>Отпущено воды по нормативам</t>
  </si>
  <si>
    <t>Прием сточных вод, всего, в т.ч.:</t>
  </si>
  <si>
    <t xml:space="preserve">Объем сточных вод скорректирован с учетом представленной организацией информации за последние 3 отчетных года и на основании пункта 4 главы II Методических указаний по расчету регулируемых тарифов в сфере водоснабжения и водоотведения, утвержденных Приказом ФСТ России от 27 декабря 2013 года № 1746-э. </t>
  </si>
  <si>
    <t>1.1.</t>
  </si>
  <si>
    <t>от собственного производства (других видов производственной деятельности)</t>
  </si>
  <si>
    <t>1.2.</t>
  </si>
  <si>
    <t>от абонентов, в т.ч.:</t>
  </si>
  <si>
    <t>1.2.1.</t>
  </si>
  <si>
    <t>в т.ч. от собственных абонентов:</t>
  </si>
  <si>
    <t xml:space="preserve">    от бюджетных потребителей</t>
  </si>
  <si>
    <t xml:space="preserve">    от населения, исполнителей коммунальных услуг (УК, ТСЖ и пр.)</t>
  </si>
  <si>
    <t xml:space="preserve">    от прочих</t>
  </si>
  <si>
    <t>1.2.2.</t>
  </si>
  <si>
    <t>от других организаций, осуществляющих водоотведение</t>
  </si>
  <si>
    <t>1.3.</t>
  </si>
  <si>
    <t>неучтенный приток сточных вод</t>
  </si>
  <si>
    <t>Объем транспортируемых сточных вод</t>
  </si>
  <si>
    <t>2.1.</t>
  </si>
  <si>
    <t>на собственные очистные сооружения</t>
  </si>
  <si>
    <t>2.2.</t>
  </si>
  <si>
    <t>в канализационную сеть других организаций</t>
  </si>
  <si>
    <t>Сброшено сточных вод без очистки</t>
  </si>
  <si>
    <t>Объем сточных вод, прошедших очистку</t>
  </si>
  <si>
    <t>III</t>
  </si>
  <si>
    <t>Объем финансовых потребностей, необходимых для реализации производственной программы</t>
  </si>
  <si>
    <t>Признана необходимой валовая выручка по данному виду деятельности, тыс.руб.</t>
  </si>
  <si>
    <t>Сравнительный анализ динамики необходимой валовой выручки (далее - НВВ)</t>
  </si>
  <si>
    <t>изменение НВВ по отношению к плановой НВВ, принятой органом регулирования</t>
  </si>
  <si>
    <t>годы</t>
  </si>
  <si>
    <t>тыс.руб.</t>
  </si>
  <si>
    <t>%</t>
  </si>
  <si>
    <t>Признаны необходимыми расходы по данному виду деятельности, тыс.руб.</t>
  </si>
  <si>
    <t>Сравнительный анализ динамики расходов</t>
  </si>
  <si>
    <t>изменение расходов по отношению к плановой величине расходов, принятой органом регулирования</t>
  </si>
  <si>
    <t xml:space="preserve">Ремонтные расходы </t>
  </si>
  <si>
    <t>в том числе расходы, направленные на реализацию мероприятий по текущему ремонту</t>
  </si>
  <si>
    <t>IV</t>
  </si>
  <si>
    <t>Перечень плановых мероприятий по ремонту объектов централизованных систем водоснабжения и (или) водоотведения, мероприятий, направленных на улучшение качества питьевой воды и (или) качества очистки сточных вод, мероприятий по энергосбережению и повышению энергетической эффективности, в том числе по снижению потерь воды при транспортировке, мероприятий, направленных на повышение качества обслуживания абонентов. 
График реализации мероприятий производственной программы.</t>
  </si>
  <si>
    <t>Мероприятия не запланированы.</t>
  </si>
  <si>
    <t>Мероприятия указаны в приложении.</t>
  </si>
  <si>
    <t>V</t>
  </si>
  <si>
    <t>Плановые значения показателей надежности, качества и энергетической эффективности объектов централизованных систем водоснабжения и (или) водоотведения. 
Расчет эффективности производственной программы</t>
  </si>
  <si>
    <t>Наименование показателя</t>
  </si>
  <si>
    <t>Показатели качества питьевой воды:</t>
  </si>
  <si>
    <t>Доля проб питьевой воды, подаваемой с источников водоснабжения, водопроводных станций или иных объектов ЦС ХВС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воды, %</t>
  </si>
  <si>
    <t>динамика изменения плановых значений показателя, %</t>
  </si>
  <si>
    <t>-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</si>
  <si>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воды, %</t>
  </si>
  <si>
    <t>динамика изменения плановых значений показателя,%</t>
  </si>
  <si>
    <t>Показатели качества очистки сточных вод</t>
  </si>
  <si>
    <t>Доля сточных вод, не подвергшихся очистке, в общем объеме сточных вод, сбрасываемых в централизованные общесплавные или бытовые системы ВО, %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</si>
  <si>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ВО, %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</si>
  <si>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ЦС ВО раздельно для централизованной общесплавной (бытовой) и централизованной ливневой систем ВО, %</t>
  </si>
  <si>
    <t xml:space="preserve">Показатели надежности и бесперебойности </t>
  </si>
  <si>
    <t>Показатели  энергетической эффективности:</t>
  </si>
  <si>
    <t>3.1.</t>
  </si>
  <si>
    <t>Доля потерь воды в ЦС ВС при транспортировке в общем объеме воды, поданной в водопроводную сеть, %</t>
  </si>
  <si>
    <t>VI</t>
  </si>
  <si>
    <t>Отчет об исполнении производственной программы за истекший период регулирования (за истекший год долгосрочного периода регулирования)</t>
  </si>
  <si>
    <t>Мероприятия выполнены в полном объеме.</t>
  </si>
  <si>
    <t>Финансовый результат реализации производственной программы за предыдущий период регулирования составил</t>
  </si>
</sst>
</file>

<file path=xl/styles.xml><?xml version="1.0" encoding="utf-8"?>
<styleSheet xmlns="http://schemas.openxmlformats.org/spreadsheetml/2006/main">
  <numFmts count="8">
    <numFmt numFmtId="164" formatCode="_-* #,##0.00_р_._-;\-* #,##0.00_р_._-;_-* &quot;-&quot;??_р_._-;_-@_-"/>
    <numFmt numFmtId="165" formatCode="0.0%"/>
    <numFmt numFmtId="166" formatCode="_-* #,##0.00[$€-1]_-;\-* #,##0.00[$€-1]_-;_-* &quot;-&quot;??[$€-1]_-"/>
    <numFmt numFmtId="167" formatCode="_-* #,##0\ _р_._-;\-* #,##0\ _р_._-;_-* &quot;-&quot;\ _р_._-;_-@_-"/>
    <numFmt numFmtId="168" formatCode="&quot;$&quot;#,##0_);[Red]\(&quot;$&quot;#,##0\)"/>
    <numFmt numFmtId="169" formatCode="#,##0.0"/>
    <numFmt numFmtId="170" formatCode="#,##0.000"/>
    <numFmt numFmtId="171" formatCode="#,##0.0000"/>
  </numFmts>
  <fonts count="4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name val="Times New Roman"/>
      <family val="1"/>
      <charset val="204"/>
    </font>
    <font>
      <sz val="9"/>
      <color indexed="10"/>
      <name val="Tahoma"/>
      <family val="2"/>
      <charset val="204"/>
    </font>
    <font>
      <sz val="9"/>
      <color rgb="FFFF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2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theme="10"/>
      <name val="Tahoma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indexed="54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color indexed="8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9"/>
      <color indexed="11"/>
      <name val="Tahoma"/>
      <family val="2"/>
      <charset val="204"/>
    </font>
    <font>
      <sz val="8"/>
      <color indexed="11"/>
      <name val="Tahoma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1">
    <xf numFmtId="0" fontId="0" fillId="0" borderId="0"/>
    <xf numFmtId="9" fontId="3" fillId="0" borderId="0" applyFont="0" applyFill="0" applyBorder="0" applyAlignment="0" applyProtection="0"/>
    <xf numFmtId="0" fontId="8" fillId="0" borderId="0"/>
    <xf numFmtId="0" fontId="9" fillId="0" borderId="0"/>
    <xf numFmtId="0" fontId="11" fillId="0" borderId="0"/>
    <xf numFmtId="166" fontId="11" fillId="0" borderId="0"/>
    <xf numFmtId="0" fontId="12" fillId="0" borderId="0"/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2" fillId="0" borderId="0"/>
    <xf numFmtId="0" fontId="1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26" borderId="0" applyNumberFormat="0" applyBorder="0" applyAlignment="0" applyProtection="0"/>
    <xf numFmtId="0" fontId="9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9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28" borderId="0" applyNumberFormat="0" applyBorder="0" applyAlignment="0" applyProtection="0"/>
    <xf numFmtId="0" fontId="9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9" fillId="26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9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14" fillId="30" borderId="6" applyNumberFormat="0" applyAlignment="0"/>
    <xf numFmtId="0" fontId="15" fillId="0" borderId="6" applyNumberFormat="0" applyAlignment="0">
      <protection locked="0"/>
    </xf>
    <xf numFmtId="0" fontId="15" fillId="0" borderId="6" applyNumberFormat="0" applyAlignment="0">
      <protection locked="0"/>
    </xf>
    <xf numFmtId="167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4" fillId="31" borderId="0">
      <protection locked="0"/>
    </xf>
    <xf numFmtId="0" fontId="18" fillId="0" borderId="0" applyFill="0" applyBorder="0" applyProtection="0">
      <alignment vertical="center"/>
    </xf>
    <xf numFmtId="170" fontId="4" fillId="31" borderId="0">
      <protection locked="0"/>
    </xf>
    <xf numFmtId="171" fontId="4" fillId="31" borderId="0">
      <protection locked="0"/>
    </xf>
    <xf numFmtId="0" fontId="15" fillId="32" borderId="6" applyAlignment="0">
      <alignment horizontal="left"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5" fillId="25" borderId="6" applyNumberFormat="0" applyAlignment="0"/>
    <xf numFmtId="0" fontId="15" fillId="33" borderId="6" applyNumberFormat="0" applyAlignment="0"/>
    <xf numFmtId="0" fontId="15" fillId="33" borderId="6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21" fillId="0" borderId="0"/>
    <xf numFmtId="0" fontId="18" fillId="0" borderId="0" applyFill="0" applyBorder="0" applyProtection="0">
      <alignment vertical="center"/>
    </xf>
    <xf numFmtId="0" fontId="18" fillId="0" borderId="0" applyFill="0" applyBorder="0" applyProtection="0">
      <alignment vertical="center"/>
    </xf>
    <xf numFmtId="0" fontId="22" fillId="21" borderId="7" applyNumberFormat="0">
      <alignment horizontal="center" vertical="center"/>
    </xf>
    <xf numFmtId="0" fontId="22" fillId="21" borderId="7" applyNumberFormat="0">
      <alignment horizontal="center" vertical="center"/>
    </xf>
    <xf numFmtId="49" fontId="23" fillId="34" borderId="8" applyNumberFormat="0">
      <alignment horizontal="center" vertical="center"/>
    </xf>
    <xf numFmtId="0" fontId="24" fillId="24" borderId="6" applyNumberFormat="0" applyAlignment="0" applyProtection="0"/>
    <xf numFmtId="49" fontId="25" fillId="0" borderId="0" applyNumberFormat="0" applyFill="0" applyBorder="0" applyAlignment="0" applyProtection="0">
      <alignment vertical="top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49" fontId="25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9" fontId="25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Border="0">
      <alignment horizontal="center" vertical="center" wrapText="1"/>
    </xf>
    <xf numFmtId="0" fontId="35" fillId="0" borderId="9" applyBorder="0">
      <alignment horizontal="center" vertical="center" wrapText="1"/>
    </xf>
    <xf numFmtId="4" fontId="4" fillId="31" borderId="10" applyBorder="0">
      <alignment horizontal="right"/>
    </xf>
    <xf numFmtId="49" fontId="4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9" fontId="4" fillId="0" borderId="0" applyBorder="0">
      <alignment vertical="top"/>
    </xf>
    <xf numFmtId="0" fontId="9" fillId="0" borderId="0"/>
    <xf numFmtId="0" fontId="9" fillId="0" borderId="0"/>
    <xf numFmtId="0" fontId="3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35" borderId="0" applyNumberFormat="0" applyBorder="0" applyAlignment="0">
      <alignment horizontal="left" vertical="center"/>
    </xf>
    <xf numFmtId="0" fontId="3" fillId="0" borderId="0"/>
    <xf numFmtId="0" fontId="8" fillId="0" borderId="0"/>
    <xf numFmtId="0" fontId="37" fillId="0" borderId="0"/>
    <xf numFmtId="0" fontId="9" fillId="0" borderId="0"/>
    <xf numFmtId="0" fontId="9" fillId="0" borderId="0"/>
    <xf numFmtId="0" fontId="37" fillId="0" borderId="0"/>
    <xf numFmtId="0" fontId="9" fillId="0" borderId="0"/>
    <xf numFmtId="0" fontId="15" fillId="0" borderId="0">
      <alignment wrapText="1"/>
    </xf>
    <xf numFmtId="0" fontId="15" fillId="0" borderId="0">
      <alignment wrapText="1"/>
    </xf>
    <xf numFmtId="0" fontId="39" fillId="35" borderId="0" applyNumberFormat="0" applyBorder="0" applyAlignment="0">
      <alignment horizontal="left" vertical="center"/>
    </xf>
    <xf numFmtId="0" fontId="3" fillId="0" borderId="0"/>
    <xf numFmtId="0" fontId="38" fillId="0" borderId="0"/>
    <xf numFmtId="0" fontId="40" fillId="36" borderId="0"/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49" fontId="10" fillId="21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49" fontId="4" fillId="35" borderId="0" applyBorder="0">
      <alignment vertical="top"/>
    </xf>
    <xf numFmtId="49" fontId="4" fillId="35" borderId="0" applyBorder="0">
      <alignment vertical="top"/>
    </xf>
    <xf numFmtId="49" fontId="4" fillId="0" borderId="0" applyBorder="0">
      <alignment vertical="top"/>
    </xf>
    <xf numFmtId="0" fontId="3" fillId="0" borderId="0"/>
    <xf numFmtId="0" fontId="15" fillId="0" borderId="0">
      <alignment wrapText="1"/>
    </xf>
    <xf numFmtId="0" fontId="15" fillId="0" borderId="0">
      <alignment wrapText="1"/>
    </xf>
    <xf numFmtId="0" fontId="38" fillId="0" borderId="0"/>
    <xf numFmtId="0" fontId="1" fillId="0" borderId="0"/>
    <xf numFmtId="0" fontId="1" fillId="0" borderId="0"/>
    <xf numFmtId="0" fontId="1" fillId="0" borderId="0"/>
    <xf numFmtId="0" fontId="4" fillId="0" borderId="0">
      <alignment horizontal="left"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4" fillId="2" borderId="1" applyNumberFormat="0" applyFont="0" applyAlignment="0" applyProtection="0"/>
    <xf numFmtId="0" fontId="4" fillId="2" borderId="6" applyNumberFormat="0" applyFont="0" applyAlignment="0" applyProtection="0"/>
    <xf numFmtId="9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4" fillId="37" borderId="0" applyBorder="0">
      <alignment horizontal="right"/>
    </xf>
    <xf numFmtId="4" fontId="4" fillId="37" borderId="11" applyBorder="0">
      <alignment horizontal="right"/>
    </xf>
    <xf numFmtId="4" fontId="4" fillId="37" borderId="10" applyFont="0" applyBorder="0">
      <alignment horizontal="right"/>
    </xf>
  </cellStyleXfs>
  <cellXfs count="67">
    <xf numFmtId="0" fontId="0" fillId="0" borderId="0" xfId="0"/>
    <xf numFmtId="0" fontId="4" fillId="21" borderId="0" xfId="0" applyFont="1" applyFill="1"/>
    <xf numFmtId="0" fontId="4" fillId="21" borderId="0" xfId="0" applyNumberFormat="1" applyFont="1" applyFill="1" applyAlignment="1">
      <alignment horizontal="center" vertical="center" wrapText="1"/>
    </xf>
    <xf numFmtId="0" fontId="4" fillId="21" borderId="0" xfId="0" applyFont="1" applyFill="1" applyAlignment="1">
      <alignment vertical="center" wrapText="1"/>
    </xf>
    <xf numFmtId="0" fontId="5" fillId="21" borderId="0" xfId="0" applyFont="1" applyFill="1"/>
    <xf numFmtId="0" fontId="6" fillId="21" borderId="0" xfId="0" applyNumberFormat="1" applyFont="1" applyFill="1" applyBorder="1" applyAlignment="1"/>
    <xf numFmtId="0" fontId="7" fillId="21" borderId="0" xfId="0" applyFont="1" applyFill="1" applyAlignment="1">
      <alignment vertical="center" wrapText="1"/>
    </xf>
    <xf numFmtId="2" fontId="4" fillId="21" borderId="0" xfId="0" applyNumberFormat="1" applyFont="1" applyFill="1" applyAlignment="1">
      <alignment vertical="center" wrapText="1"/>
    </xf>
    <xf numFmtId="0" fontId="7" fillId="21" borderId="0" xfId="0" applyFont="1" applyFill="1" applyAlignment="1">
      <alignment vertical="center"/>
    </xf>
    <xf numFmtId="0" fontId="4" fillId="21" borderId="3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left" vertical="center" wrapText="1"/>
    </xf>
    <xf numFmtId="0" fontId="4" fillId="21" borderId="3" xfId="0" applyNumberFormat="1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vertical="center" wrapText="1"/>
    </xf>
    <xf numFmtId="49" fontId="4" fillId="21" borderId="3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2" fontId="4" fillId="21" borderId="3" xfId="0" applyNumberFormat="1" applyFont="1" applyFill="1" applyBorder="1" applyAlignment="1">
      <alignment vertical="center" wrapText="1"/>
    </xf>
    <xf numFmtId="2" fontId="4" fillId="21" borderId="3" xfId="0" applyNumberFormat="1" applyFont="1" applyFill="1" applyBorder="1" applyAlignment="1">
      <alignment horizontal="center" vertical="center" wrapText="1"/>
    </xf>
    <xf numFmtId="165" fontId="4" fillId="21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/>
    <xf numFmtId="0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4" fillId="21" borderId="0" xfId="0" applyFont="1" applyFill="1" applyBorder="1" applyAlignment="1">
      <alignment vertical="center" wrapText="1"/>
    </xf>
    <xf numFmtId="1" fontId="4" fillId="21" borderId="3" xfId="0" applyNumberFormat="1" applyFont="1" applyFill="1" applyBorder="1" applyAlignment="1">
      <alignment horizontal="left" vertical="center" wrapText="1"/>
    </xf>
    <xf numFmtId="0" fontId="6" fillId="21" borderId="0" xfId="0" applyFont="1" applyFill="1" applyAlignment="1">
      <alignment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1" borderId="0" xfId="2" applyFont="1" applyFill="1"/>
    <xf numFmtId="0" fontId="4" fillId="21" borderId="0" xfId="2" applyFont="1" applyFill="1" applyAlignment="1">
      <alignment vertical="center" wrapText="1"/>
    </xf>
    <xf numFmtId="1" fontId="4" fillId="21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4" fillId="21" borderId="3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3" applyFont="1" applyAlignment="1">
      <alignment horizontal="left"/>
    </xf>
    <xf numFmtId="3" fontId="10" fillId="0" borderId="0" xfId="3" applyNumberFormat="1" applyFont="1"/>
    <xf numFmtId="0" fontId="5" fillId="21" borderId="0" xfId="0" applyNumberFormat="1" applyFont="1" applyFill="1" applyAlignment="1">
      <alignment horizontal="center" vertical="center" wrapText="1"/>
    </xf>
    <xf numFmtId="0" fontId="5" fillId="21" borderId="0" xfId="0" applyFont="1" applyFill="1" applyAlignment="1">
      <alignment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center" vertical="center" wrapText="1"/>
    </xf>
    <xf numFmtId="0" fontId="4" fillId="22" borderId="3" xfId="0" applyNumberFormat="1" applyFont="1" applyFill="1" applyBorder="1" applyAlignment="1">
      <alignment horizontal="center" vertical="center" wrapText="1"/>
    </xf>
    <xf numFmtId="49" fontId="4" fillId="22" borderId="3" xfId="0" applyNumberFormat="1" applyFont="1" applyFill="1" applyBorder="1" applyAlignment="1">
      <alignment horizontal="center" vertical="center" wrapText="1"/>
    </xf>
    <xf numFmtId="0" fontId="4" fillId="21" borderId="0" xfId="0" applyNumberFormat="1" applyFont="1" applyFill="1" applyAlignment="1">
      <alignment horizontal="left" vertical="center" wrapText="1"/>
    </xf>
    <xf numFmtId="0" fontId="4" fillId="21" borderId="2" xfId="0" applyFont="1" applyFill="1" applyBorder="1" applyAlignment="1">
      <alignment horizontal="center" vertical="center" wrapText="1"/>
    </xf>
    <xf numFmtId="2" fontId="4" fillId="22" borderId="3" xfId="0" applyNumberFormat="1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vertical="center" wrapText="1"/>
    </xf>
    <xf numFmtId="0" fontId="4" fillId="21" borderId="0" xfId="0" applyFont="1" applyFill="1" applyBorder="1" applyAlignment="1">
      <alignment horizontal="center" vertical="center" wrapText="1"/>
    </xf>
    <xf numFmtId="0" fontId="4" fillId="21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21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left" vertical="center" wrapText="1"/>
    </xf>
    <xf numFmtId="0" fontId="4" fillId="21" borderId="3" xfId="0" applyNumberFormat="1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2" fontId="4" fillId="21" borderId="3" xfId="0" applyNumberFormat="1" applyFont="1" applyFill="1" applyBorder="1" applyAlignment="1">
      <alignment horizontal="center" vertical="center" wrapText="1"/>
    </xf>
    <xf numFmtId="2" fontId="4" fillId="21" borderId="3" xfId="0" applyNumberFormat="1" applyFont="1" applyFill="1" applyBorder="1" applyAlignment="1">
      <alignment horizontal="left" vertical="center" wrapText="1"/>
    </xf>
    <xf numFmtId="0" fontId="4" fillId="21" borderId="3" xfId="0" applyFont="1" applyFill="1" applyBorder="1" applyAlignment="1">
      <alignment horizontal="left" vertical="center"/>
    </xf>
    <xf numFmtId="0" fontId="6" fillId="21" borderId="0" xfId="0" applyNumberFormat="1" applyFont="1" applyFill="1" applyBorder="1" applyAlignment="1">
      <alignment horizontal="right"/>
    </xf>
    <xf numFmtId="0" fontId="4" fillId="21" borderId="3" xfId="0" applyFont="1" applyFill="1" applyBorder="1" applyAlignment="1">
      <alignment horizontal="center" vertical="center" wrapText="1" readingOrder="1"/>
    </xf>
    <xf numFmtId="2" fontId="4" fillId="0" borderId="4" xfId="0" applyNumberFormat="1" applyFont="1" applyFill="1" applyBorder="1" applyAlignment="1">
      <alignment horizontal="left" vertical="center" wrapText="1"/>
    </xf>
    <xf numFmtId="4" fontId="4" fillId="21" borderId="5" xfId="2" applyNumberFormat="1" applyFont="1" applyFill="1" applyBorder="1" applyAlignment="1">
      <alignment horizontal="center" vertical="center" wrapText="1"/>
    </xf>
  </cellXfs>
  <cellStyles count="201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_РИТ КЭС " xfId="19"/>
    <cellStyle name="_Факт  годовая 2007 " xfId="20"/>
    <cellStyle name="20% - Акцент1 2" xfId="21"/>
    <cellStyle name="20% - Акцент1 2 2" xfId="22"/>
    <cellStyle name="20% - Акцент1 3" xfId="23"/>
    <cellStyle name="20% - Акцент2 2" xfId="24"/>
    <cellStyle name="20% - Акцент2 2 2" xfId="25"/>
    <cellStyle name="20% - Акцент2 3" xfId="26"/>
    <cellStyle name="20% - Акцент3 2" xfId="27"/>
    <cellStyle name="20% - Акцент3 2 2" xfId="28"/>
    <cellStyle name="20% - Акцент3 3" xfId="29"/>
    <cellStyle name="20% - Акцент4 2" xfId="30"/>
    <cellStyle name="20% - Акцент4 2 2" xfId="31"/>
    <cellStyle name="20% - Акцент4 3" xfId="32"/>
    <cellStyle name="20% - Акцент5 2" xfId="33"/>
    <cellStyle name="20% - Акцент5 2 2" xfId="34"/>
    <cellStyle name="20% - Акцент5 3" xfId="35"/>
    <cellStyle name="20% - Акцент6 2" xfId="36"/>
    <cellStyle name="20% - Акцент6 2 2" xfId="37"/>
    <cellStyle name="20% - Акцент6 3" xfId="38"/>
    <cellStyle name="40% - Акцент1 2" xfId="39"/>
    <cellStyle name="40% - Акцент1 2 2" xfId="40"/>
    <cellStyle name="40% - Акцент1 3" xfId="41"/>
    <cellStyle name="40% - Акцент2 2" xfId="42"/>
    <cellStyle name="40% - Акцент2 2 2" xfId="43"/>
    <cellStyle name="40% - Акцент2 3" xfId="44"/>
    <cellStyle name="40% - Акцент3 2" xfId="45"/>
    <cellStyle name="40% - Акцент3 2 2" xfId="46"/>
    <cellStyle name="40% - Акцент3 3" xfId="47"/>
    <cellStyle name="40% - Акцент4 2" xfId="48"/>
    <cellStyle name="40% - Акцент4 2 2" xfId="49"/>
    <cellStyle name="40% - Акцент4 3" xfId="50"/>
    <cellStyle name="40% - Акцент5 2" xfId="51"/>
    <cellStyle name="40% - Акцент5 2 2" xfId="52"/>
    <cellStyle name="40% - Акцент5 3" xfId="53"/>
    <cellStyle name="40% - Акцент6 2" xfId="54"/>
    <cellStyle name="40% - Акцент6 2 2" xfId="55"/>
    <cellStyle name="40% - Акцент6 3" xfId="56"/>
    <cellStyle name="60% - Акцент1 2" xfId="57"/>
    <cellStyle name="60% - Акцент2 2" xfId="58"/>
    <cellStyle name="60% - Акцент3 2" xfId="59"/>
    <cellStyle name="60% - Акцент4 2" xfId="60"/>
    <cellStyle name="60% - Акцент5 2" xfId="61"/>
    <cellStyle name="60% - Акцент6 2" xfId="62"/>
    <cellStyle name="Action" xfId="63"/>
    <cellStyle name="Cells" xfId="64"/>
    <cellStyle name="Cells 2" xfId="65"/>
    <cellStyle name="Comma [0]" xfId="66"/>
    <cellStyle name="Currency [0]" xfId="67"/>
    <cellStyle name="currency1" xfId="68"/>
    <cellStyle name="Currency2" xfId="69"/>
    <cellStyle name="currency3" xfId="70"/>
    <cellStyle name="currency4" xfId="71"/>
    <cellStyle name="DblClick" xfId="72"/>
    <cellStyle name="Followed Hyperlink" xfId="73"/>
    <cellStyle name="Formuls" xfId="74"/>
    <cellStyle name="Header" xfId="75"/>
    <cellStyle name="Header 3" xfId="76"/>
    <cellStyle name="Hyperlink" xfId="77"/>
    <cellStyle name="normal" xfId="78"/>
    <cellStyle name="Normal1" xfId="79"/>
    <cellStyle name="Normal2" xfId="80"/>
    <cellStyle name="Percent1" xfId="81"/>
    <cellStyle name="Title" xfId="82"/>
    <cellStyle name="Title 2" xfId="83"/>
    <cellStyle name="Title 4" xfId="84"/>
    <cellStyle name="Ввод  2" xfId="85"/>
    <cellStyle name="Гиперссылка 10" xfId="86"/>
    <cellStyle name="Гиперссылка 2" xfId="87"/>
    <cellStyle name="Гиперссылка 2 2" xfId="88"/>
    <cellStyle name="Гиперссылка 2 3" xfId="89"/>
    <cellStyle name="Гиперссылка 3" xfId="90"/>
    <cellStyle name="Гиперссылка 4" xfId="91"/>
    <cellStyle name="Гиперссылка 4 2" xfId="92"/>
    <cellStyle name="Гиперссылка 4 2 2" xfId="93"/>
    <cellStyle name="Гиперссылка 5" xfId="94"/>
    <cellStyle name="Гиперссылка 5 2" xfId="95"/>
    <cellStyle name="Гиперссылка 5 2 2" xfId="96"/>
    <cellStyle name="Гиперссылка 6" xfId="97"/>
    <cellStyle name="Гиперссылка 6 2" xfId="98"/>
    <cellStyle name="Гиперссылка 6 2 2" xfId="99"/>
    <cellStyle name="Гиперссылка 6 3" xfId="100"/>
    <cellStyle name="Гиперссылка 7" xfId="101"/>
    <cellStyle name="Гиперссылка 7 2" xfId="102"/>
    <cellStyle name="Гиперссылка 7 3" xfId="103"/>
    <cellStyle name="Заголовок" xfId="104"/>
    <cellStyle name="ЗаголовокСтолбца" xfId="105"/>
    <cellStyle name="Значение" xfId="106"/>
    <cellStyle name="Обычный" xfId="0" builtinId="0"/>
    <cellStyle name="Обычный 10" xfId="107"/>
    <cellStyle name="Обычный 11" xfId="108"/>
    <cellStyle name="Обычный 11 2" xfId="109"/>
    <cellStyle name="Обычный 11 2 2" xfId="110"/>
    <cellStyle name="Обычный 11 3" xfId="111"/>
    <cellStyle name="Обычный 12" xfId="112"/>
    <cellStyle name="Обычный 12 2" xfId="113"/>
    <cellStyle name="Обычный 12 2 2" xfId="114"/>
    <cellStyle name="Обычный 12 3" xfId="115"/>
    <cellStyle name="Обычный 12 3 2" xfId="116"/>
    <cellStyle name="Обычный 12 3 2 2" xfId="117"/>
    <cellStyle name="Обычный 12 3 3" xfId="118"/>
    <cellStyle name="Обычный 12 3 3 2" xfId="119"/>
    <cellStyle name="Обычный 12 3 3 2 2" xfId="120"/>
    <cellStyle name="Обычный 12 3 3 3" xfId="121"/>
    <cellStyle name="Обычный 12 3 4" xfId="122"/>
    <cellStyle name="Обычный 12 3 4 2" xfId="123"/>
    <cellStyle name="Обычный 12 3 4 2 2" xfId="124"/>
    <cellStyle name="Обычный 12 3 4 3" xfId="125"/>
    <cellStyle name="Обычный 12 3 8" xfId="126"/>
    <cellStyle name="Обычный 12 3 8 2" xfId="127"/>
    <cellStyle name="Обычный 12 3 8 2 2" xfId="128"/>
    <cellStyle name="Обычный 12 3 8 3" xfId="129"/>
    <cellStyle name="Обычный 12 4" xfId="130"/>
    <cellStyle name="Обычный 13" xfId="131"/>
    <cellStyle name="Обычный 13 2" xfId="132"/>
    <cellStyle name="Обычный 13 3" xfId="133"/>
    <cellStyle name="Обычный 13 4" xfId="134"/>
    <cellStyle name="Обычный 13 4 2" xfId="135"/>
    <cellStyle name="Обычный 13 4 2 2" xfId="136"/>
    <cellStyle name="Обычный 13 4 3" xfId="137"/>
    <cellStyle name="Обычный 13 5" xfId="138"/>
    <cellStyle name="Обычный 13 5 2" xfId="139"/>
    <cellStyle name="Обычный 13 6" xfId="140"/>
    <cellStyle name="Обычный 14" xfId="141"/>
    <cellStyle name="Обычный 14 2" xfId="142"/>
    <cellStyle name="Обычный 14_UPDATE.WARM.CALC.INDEX.2015.TO.1.2.3" xfId="143"/>
    <cellStyle name="Обычный 15" xfId="144"/>
    <cellStyle name="Обычный 16" xfId="145"/>
    <cellStyle name="Обычный 16 2" xfId="146"/>
    <cellStyle name="Обычный 16 2 2" xfId="147"/>
    <cellStyle name="Обычный 16 3" xfId="148"/>
    <cellStyle name="Обычный 2" xfId="149"/>
    <cellStyle name="Обычный 2 10 2" xfId="150"/>
    <cellStyle name="Обычный 2 2" xfId="3"/>
    <cellStyle name="Обычный 2 2 2" xfId="2"/>
    <cellStyle name="Обычный 2 2 2 2" xfId="151"/>
    <cellStyle name="Обычный 2 2 3" xfId="152"/>
    <cellStyle name="Обычный 2 2 4" xfId="153"/>
    <cellStyle name="Обычный 2 2 4 2" xfId="154"/>
    <cellStyle name="Обычный 2 2 5" xfId="155"/>
    <cellStyle name="Обычный 2 2 6" xfId="156"/>
    <cellStyle name="Обычный 2 3" xfId="157"/>
    <cellStyle name="Обычный 2 3 2" xfId="158"/>
    <cellStyle name="Обычный 2 6" xfId="159"/>
    <cellStyle name="Обычный 2 7" xfId="160"/>
    <cellStyle name="Обычный 2 8" xfId="161"/>
    <cellStyle name="Обычный 2_13 09 24 Баланс (3)" xfId="162"/>
    <cellStyle name="Обычный 20" xfId="163"/>
    <cellStyle name="Обычный 21" xfId="164"/>
    <cellStyle name="Обычный 22" xfId="165"/>
    <cellStyle name="Обычный 23" xfId="166"/>
    <cellStyle name="Обычный 24" xfId="167"/>
    <cellStyle name="Обычный 25" xfId="168"/>
    <cellStyle name="Обычный 25 2" xfId="169"/>
    <cellStyle name="Обычный 25 2 2" xfId="170"/>
    <cellStyle name="Обычный 25 3" xfId="171"/>
    <cellStyle name="Обычный 3" xfId="172"/>
    <cellStyle name="Обычный 3 2" xfId="173"/>
    <cellStyle name="Обычный 3 3" xfId="174"/>
    <cellStyle name="Обычный 3 3 2" xfId="175"/>
    <cellStyle name="Обычный 3 4" xfId="176"/>
    <cellStyle name="Обычный 4" xfId="177"/>
    <cellStyle name="Обычный 4 2" xfId="178"/>
    <cellStyle name="Обычный 4 2 2" xfId="179"/>
    <cellStyle name="Обычный 4_Справочники" xfId="180"/>
    <cellStyle name="Обычный 5" xfId="181"/>
    <cellStyle name="Обычный 5 2" xfId="182"/>
    <cellStyle name="Обычный 5 2 2" xfId="183"/>
    <cellStyle name="Обычный 6" xfId="184"/>
    <cellStyle name="Обычный 7" xfId="185"/>
    <cellStyle name="Обычный 7 2" xfId="186"/>
    <cellStyle name="Обычный 8" xfId="187"/>
    <cellStyle name="Обычный 8 2" xfId="188"/>
    <cellStyle name="Обычный 8 2 2" xfId="189"/>
    <cellStyle name="Обычный 8 3" xfId="190"/>
    <cellStyle name="Обычный 9" xfId="191"/>
    <cellStyle name="Примечание 2" xfId="192"/>
    <cellStyle name="Примечание 2 2" xfId="193"/>
    <cellStyle name="Процентный 10 2" xfId="1"/>
    <cellStyle name="Процентный 2" xfId="194"/>
    <cellStyle name="Стиль 1" xfId="195"/>
    <cellStyle name="Финансовый 2" xfId="196"/>
    <cellStyle name="Финансовый 2 2" xfId="197"/>
    <cellStyle name="Формула" xfId="198"/>
    <cellStyle name="ФормулаВБ_Мониторинг инвестиций" xfId="199"/>
    <cellStyle name="ФормулаНаКонтроль" xfId="2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ALC.WATER.2.19%20&#1050;&#1077;&#1079;&#1082;&#1086;&#1084;&#1084;&#1091;&#1085;&#1089;&#1077;&#1088;&#1074;&#1080;&#1089;%202020%20(v2.0.7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ServiceModule"/>
      <sheetName val="modServices"/>
      <sheetName val="modFot"/>
      <sheetName val="REESTR_MO"/>
      <sheetName val="modfrmReestrObjects"/>
      <sheetName val="modfrmUpdateIsInProgress"/>
      <sheetName val="modDOC"/>
      <sheetName val="modCommonProv"/>
      <sheetName val="modfrmReestr"/>
      <sheetName val="modProv"/>
      <sheetName val="modPreload"/>
      <sheetName val="modHTTP"/>
      <sheetName val="Инструкция"/>
      <sheetName val="Лог обновления"/>
      <sheetName val="modInstruction"/>
      <sheetName val="Титульный"/>
      <sheetName val="TECHSHEET"/>
      <sheetName val="Списки"/>
      <sheetName val="modInfo"/>
      <sheetName val="modDocs"/>
      <sheetName val="modfrmDocumentPicker"/>
      <sheetName val="modDocumentsAPI"/>
      <sheetName val="modCheckCyan"/>
      <sheetName val="modfrmURL"/>
      <sheetName val="Документы"/>
      <sheetName val="Заявление"/>
      <sheetName val="Главная"/>
      <sheetName val="Паспорт"/>
      <sheetName val="modPNote"/>
      <sheetName val="П.записка"/>
      <sheetName val="Список территорий"/>
      <sheetName val="REESTR_OBJECTS"/>
      <sheetName val="modListObjects"/>
      <sheetName val="Список объектов"/>
      <sheetName val="БПр_ВС_ФАС"/>
      <sheetName val="БТр_ВС_ФАС"/>
      <sheetName val="БПр_ВО_ФАС"/>
      <sheetName val="БТр_ВО_ФАС"/>
      <sheetName val="modPP_Send"/>
      <sheetName val="ПП исх"/>
      <sheetName val="modPP_Entry"/>
      <sheetName val="ПП вход"/>
      <sheetName val="modIssueWater"/>
      <sheetName val="Р"/>
      <sheetName val="К"/>
      <sheetName val="ТМ1"/>
      <sheetName val="ТМ2"/>
      <sheetName val="Отпуск воды"/>
      <sheetName val="Объемы ВО"/>
      <sheetName val="modWastewater"/>
      <sheetName val="Баланс ВС"/>
      <sheetName val="Баланс ВО"/>
      <sheetName val="Ставка водного налога"/>
      <sheetName val="modBalanceVS"/>
      <sheetName val="modBalanceVO"/>
      <sheetName val="Показатели"/>
      <sheetName val="modIndicators"/>
      <sheetName val="Cырье и материалы"/>
      <sheetName val="Реагенты"/>
      <sheetName val="modReagents"/>
      <sheetName val="modEe"/>
      <sheetName val="ЭЭ"/>
      <sheetName val="modTH"/>
      <sheetName val="ТЭ"/>
      <sheetName val="modTe"/>
      <sheetName val="ТН"/>
      <sheetName val="Топливо"/>
      <sheetName val="modPaymentServices"/>
      <sheetName val="Оплата услуг"/>
      <sheetName val="ФОТ (по ВД)"/>
      <sheetName val="ФОТ"/>
      <sheetName val="Амортизация"/>
      <sheetName val="modOverhaul"/>
      <sheetName val="Капремонт"/>
      <sheetName val="modPM_1"/>
      <sheetName val="ПМ (1й год)"/>
      <sheetName val="modPM_2"/>
      <sheetName val="ПМ (2й год)"/>
      <sheetName val="modPM_3"/>
      <sheetName val="ПМ (3й год)"/>
      <sheetName val="modPM_4"/>
      <sheetName val="ПМ (4й год)"/>
      <sheetName val="modPM_5"/>
      <sheetName val="ПМ (5й год)"/>
      <sheetName val="modTransportation"/>
      <sheetName val="Транспортировка"/>
      <sheetName val="Cчет 25"/>
      <sheetName val="modBill_25"/>
      <sheetName val="modBill_26"/>
      <sheetName val="Счет 26"/>
      <sheetName val="modAvr"/>
      <sheetName val="АВР"/>
      <sheetName val="modRent"/>
      <sheetName val="tech"/>
      <sheetName val="Аренда"/>
      <sheetName val="Смета"/>
      <sheetName val="Справочник ВД"/>
      <sheetName val="Справочник ИЭР"/>
      <sheetName val="modAnalog"/>
      <sheetName val="Аналог"/>
      <sheetName val="Расчет аналог"/>
      <sheetName val="Расчет МЭОР"/>
      <sheetName val="ОР (базовый)"/>
      <sheetName val="НР"/>
      <sheetName val="modIEP"/>
      <sheetName val="ИЭР"/>
      <sheetName val="Корр по факту"/>
      <sheetName val="Условные метры"/>
      <sheetName val="ИИКА"/>
      <sheetName val="Индексы"/>
      <sheetName val="Расчет тарифа(корректировка) МИ"/>
      <sheetName val="Экон. ЭЭ"/>
      <sheetName val="Экон. проч"/>
      <sheetName val="Экон. ОР"/>
      <sheetName val="закл МЭОР"/>
      <sheetName val="закл МИ"/>
      <sheetName val="ПП ХВС (ВО)"/>
      <sheetName val="закл Корректировка"/>
      <sheetName val="Комментарии"/>
      <sheetName val="Проверка"/>
      <sheetName val="modPass"/>
      <sheetName val="modProvGeneralProc"/>
      <sheetName val="mod_COST_MATERIAL"/>
      <sheetName val="modSheetTitle"/>
      <sheetName val="modCommandButton"/>
      <sheetName val="modUpdTemplMain"/>
      <sheetName val="modCommonProcedures"/>
      <sheetName val="modfrmCheckUpdates"/>
      <sheetName val="REESTR_ORG_EE"/>
      <sheetName val="REESTR_ORG_WARM"/>
      <sheetName val="REESTR_ORG"/>
      <sheetName val="SELECTED_DOCS"/>
      <sheetName val="DOCS_DEPENDENCY"/>
      <sheetName val="modHLIcons"/>
      <sheetName val="modAuthorizationUtilities"/>
      <sheetName val="AUTHORIZATION"/>
      <sheetName val="modfrmCheckInIsInProgress"/>
    </sheetNames>
    <sheetDataSet>
      <sheetData sheetId="0" refreshError="1"/>
      <sheetData sheetId="1" refreshError="1"/>
      <sheetData sheetId="2" refreshError="1"/>
      <sheetData sheetId="3" refreshError="1">
        <row r="2">
          <cell r="E2" t="str">
            <v>Алнашский муниципальный район</v>
          </cell>
        </row>
        <row r="3">
          <cell r="E3" t="str">
            <v>Балезинский муниципальный район</v>
          </cell>
        </row>
        <row r="4">
          <cell r="E4" t="str">
            <v>Вавожский муниципальный район</v>
          </cell>
        </row>
        <row r="5">
          <cell r="E5" t="str">
            <v>Воткинский муниципальный район</v>
          </cell>
        </row>
        <row r="6">
          <cell r="E6" t="str">
            <v>Глазовский муниципальный район</v>
          </cell>
        </row>
        <row r="7">
          <cell r="E7" t="str">
            <v>Город Воткинск</v>
          </cell>
        </row>
        <row r="8">
          <cell r="E8" t="str">
            <v>Город Глазов</v>
          </cell>
        </row>
        <row r="9">
          <cell r="E9" t="str">
            <v>Город Ижевск</v>
          </cell>
        </row>
        <row r="10">
          <cell r="E10" t="str">
            <v>Город Можга</v>
          </cell>
        </row>
        <row r="11">
          <cell r="E11" t="str">
            <v>Город Сарапул</v>
          </cell>
        </row>
        <row r="12">
          <cell r="E12" t="str">
            <v>Граховский муниципальный район</v>
          </cell>
        </row>
        <row r="13">
          <cell r="E13" t="str">
            <v>Дебесский муниципальный район</v>
          </cell>
        </row>
        <row r="14">
          <cell r="E14" t="str">
            <v>Завьяловский муниципальный район</v>
          </cell>
        </row>
        <row r="15">
          <cell r="E15" t="str">
            <v>Игринский муниципальный район</v>
          </cell>
        </row>
        <row r="16">
          <cell r="E16" t="str">
            <v>Камбарский муниципальный район</v>
          </cell>
        </row>
        <row r="17">
          <cell r="E17" t="str">
            <v>Каракулинский муниципальный район</v>
          </cell>
        </row>
        <row r="18">
          <cell r="E18" t="str">
            <v>Кезский муниципальный район</v>
          </cell>
        </row>
        <row r="19">
          <cell r="E19" t="str">
            <v>Кизнерский муниципальный район</v>
          </cell>
        </row>
        <row r="20">
          <cell r="E20" t="str">
            <v>Киясовский муниципальный район</v>
          </cell>
        </row>
        <row r="21">
          <cell r="E21" t="str">
            <v>Красногорский муниципальный район</v>
          </cell>
        </row>
        <row r="22">
          <cell r="E22" t="str">
            <v>Малопургинский муниципальный район</v>
          </cell>
        </row>
        <row r="23">
          <cell r="E23" t="str">
            <v>Можгинский муниципальный район</v>
          </cell>
        </row>
        <row r="24">
          <cell r="E24" t="str">
            <v>Сарапульский муниципальный район</v>
          </cell>
        </row>
        <row r="25">
          <cell r="E25" t="str">
            <v>Селтинский муниципальный район</v>
          </cell>
        </row>
        <row r="26">
          <cell r="E26" t="str">
            <v>Сюмсинский муниципальный район</v>
          </cell>
        </row>
        <row r="27">
          <cell r="E27" t="str">
            <v>Увинский муниципальный район</v>
          </cell>
        </row>
        <row r="28">
          <cell r="E28" t="str">
            <v>Шарканский муниципальный район</v>
          </cell>
        </row>
        <row r="29">
          <cell r="E29" t="str">
            <v>Юкаменский муниципальный район</v>
          </cell>
        </row>
        <row r="30">
          <cell r="E30" t="str">
            <v>Якшур-Бодьинский муниципальный район</v>
          </cell>
        </row>
        <row r="31">
          <cell r="E31" t="str">
            <v>Ярский муниципальный район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8">
          <cell r="F8" t="str">
            <v>Удмуртская Республика</v>
          </cell>
        </row>
        <row r="12">
          <cell r="F12" t="str">
            <v>Версия регулятора</v>
          </cell>
        </row>
        <row r="14">
          <cell r="F14">
            <v>2020</v>
          </cell>
        </row>
        <row r="16">
          <cell r="F16" t="str">
            <v>Водоотведение</v>
          </cell>
          <cell r="H16" t="str">
            <v>водоотведения</v>
          </cell>
          <cell r="I16" t="str">
            <v>VOTV</v>
          </cell>
          <cell r="J16" t="str">
            <v>стоков</v>
          </cell>
        </row>
        <row r="18">
          <cell r="F18" t="str">
            <v>Водоотведение (очистка сточных вод)</v>
          </cell>
        </row>
        <row r="20">
          <cell r="F20" t="str">
            <v>Оказание услуг в сфере водоотведения и очистки сточных вод</v>
          </cell>
        </row>
        <row r="22">
          <cell r="F22" t="str">
            <v>ХБСВ</v>
          </cell>
        </row>
        <row r="25">
          <cell r="F25" t="str">
            <v>Метод индексации</v>
          </cell>
        </row>
        <row r="27">
          <cell r="F27">
            <v>2019</v>
          </cell>
        </row>
        <row r="29">
          <cell r="F29">
            <v>5</v>
          </cell>
        </row>
        <row r="31">
          <cell r="F31" t="str">
            <v>Корректировка</v>
          </cell>
        </row>
        <row r="37">
          <cell r="F37" t="str">
            <v>Метод индексации</v>
          </cell>
        </row>
        <row r="39">
          <cell r="F39">
            <v>3</v>
          </cell>
        </row>
        <row r="41">
          <cell r="F41">
            <v>3</v>
          </cell>
        </row>
        <row r="46">
          <cell r="F46" t="str">
            <v>Кезский муниципальный район</v>
          </cell>
        </row>
        <row r="47">
          <cell r="F47" t="str">
            <v>Кезский муниципальный район</v>
          </cell>
        </row>
        <row r="48">
          <cell r="F48" t="str">
            <v>94624000</v>
          </cell>
        </row>
        <row r="50">
          <cell r="F50" t="str">
            <v>ООО "Кезкоммунсервис"</v>
          </cell>
        </row>
        <row r="56">
          <cell r="F56" t="str">
            <v>1809006939</v>
          </cell>
        </row>
        <row r="57">
          <cell r="F57" t="str">
            <v>183701001</v>
          </cell>
        </row>
        <row r="60">
          <cell r="F60" t="str">
            <v>87518754</v>
          </cell>
        </row>
        <row r="61">
          <cell r="F61" t="str">
            <v>9462426</v>
          </cell>
        </row>
        <row r="62">
          <cell r="F62" t="str">
            <v>49013</v>
          </cell>
        </row>
        <row r="64">
          <cell r="F64" t="str">
            <v>нет</v>
          </cell>
        </row>
        <row r="70">
          <cell r="F70" t="str">
            <v>427580, УР, Кезский район, п. Кез, ул. Ленина, д. 48</v>
          </cell>
        </row>
        <row r="71">
          <cell r="F71" t="str">
            <v>427580, УР, Кезский район, п. Кез, ул. Ленина, д. 48</v>
          </cell>
        </row>
        <row r="73">
          <cell r="F73" t="str">
            <v>Касимов Марат Зайдуллович</v>
          </cell>
        </row>
        <row r="74">
          <cell r="F74" t="str">
            <v>Директор</v>
          </cell>
        </row>
        <row r="75">
          <cell r="F75" t="str">
            <v>(34158) 3-22-83</v>
          </cell>
        </row>
        <row r="76">
          <cell r="F76" t="str">
            <v>8-950-831-90-10</v>
          </cell>
        </row>
        <row r="77">
          <cell r="F77" t="str">
            <v>kezcomsrv@yandex.ru</v>
          </cell>
        </row>
        <row r="79">
          <cell r="F79" t="str">
            <v>Лекомцева Валентина Геннадьевна</v>
          </cell>
        </row>
        <row r="80">
          <cell r="F80" t="str">
            <v>(34158) 3-22-83</v>
          </cell>
        </row>
        <row r="82">
          <cell r="F82" t="str">
            <v>Баженов Александр Николаевич</v>
          </cell>
        </row>
        <row r="83">
          <cell r="F83" t="str">
            <v>Главный экономист</v>
          </cell>
        </row>
        <row r="84">
          <cell r="F84" t="str">
            <v>(34158) 3-22-83</v>
          </cell>
        </row>
        <row r="85">
          <cell r="F85" t="str">
            <v>kezcomsrv@yandex.ru</v>
          </cell>
        </row>
      </sheetData>
      <sheetData sheetId="16" refreshError="1">
        <row r="2">
          <cell r="D2">
            <v>1</v>
          </cell>
          <cell r="E2" t="str">
            <v>да</v>
          </cell>
          <cell r="L2">
            <v>3</v>
          </cell>
          <cell r="Y2" t="str">
            <v>общая система налогообложения</v>
          </cell>
          <cell r="AB2" t="str">
            <v>Без дифференциации</v>
          </cell>
          <cell r="AD2" t="str">
            <v>Коагулянт - гидроксохлоросульфат алюминия (коагулянт смешанного типа)</v>
          </cell>
        </row>
        <row r="3">
          <cell r="D3">
            <v>2</v>
          </cell>
          <cell r="E3" t="str">
            <v>нет</v>
          </cell>
          <cell r="L3">
            <v>4</v>
          </cell>
          <cell r="Y3" t="str">
            <v>общая система налогообложения (освобождение от уплаты НДС в соответствии со ст. 145 НК РФ)</v>
          </cell>
          <cell r="AB3" t="str">
            <v>ЖБО</v>
          </cell>
          <cell r="AD3" t="str">
            <v>Коагулянт - железный купорос</v>
          </cell>
        </row>
        <row r="4">
          <cell r="D4">
            <v>3</v>
          </cell>
          <cell r="L4">
            <v>5</v>
          </cell>
          <cell r="Y4" t="str">
            <v>упрощенная система налогообложения</v>
          </cell>
          <cell r="AB4" t="str">
            <v>ПСВ</v>
          </cell>
          <cell r="AD4" t="str">
            <v>Коагулянт - оксихлорид алюминия</v>
          </cell>
        </row>
        <row r="5">
          <cell r="D5">
            <v>4</v>
          </cell>
          <cell r="Y5" t="str">
            <v>единый сельскохозяйственный налог</v>
          </cell>
          <cell r="AB5" t="str">
            <v>ХБСВ</v>
          </cell>
          <cell r="AD5" t="str">
            <v>Коагулянт - оксихлорид алюминия 10 %</v>
          </cell>
        </row>
        <row r="6">
          <cell r="D6">
            <v>5</v>
          </cell>
          <cell r="Y6" t="str">
            <v>система налогообложения в виде единого налога на вмененный доход для отдельных видов деятельности</v>
          </cell>
          <cell r="AB6" t="str">
            <v>СВ (нормативы)</v>
          </cell>
          <cell r="AD6" t="str">
            <v>Коагулянт - оксихлорид алюминия 18 %</v>
          </cell>
        </row>
        <row r="7">
          <cell r="D7">
            <v>6</v>
          </cell>
          <cell r="Y7" t="str">
            <v>система налогообложения при выполнении соглашений о разделе продукции</v>
          </cell>
          <cell r="AB7" t="str">
            <v>СВ (иные)</v>
          </cell>
          <cell r="AD7" t="str">
            <v>Коагулянт - оксихлорид алюминия 30 %</v>
          </cell>
        </row>
        <row r="8">
          <cell r="C8">
            <v>2016</v>
          </cell>
          <cell r="D8">
            <v>7</v>
          </cell>
          <cell r="AD8" t="str">
            <v>Коагулянт - полиоксихлорид алюминия</v>
          </cell>
        </row>
        <row r="9">
          <cell r="C9">
            <v>2017</v>
          </cell>
          <cell r="D9">
            <v>8</v>
          </cell>
          <cell r="AD9" t="str">
            <v>Коагулянт - полиоксихлорид алюминия 10 %</v>
          </cell>
        </row>
        <row r="10">
          <cell r="C10">
            <v>2018</v>
          </cell>
          <cell r="D10">
            <v>9</v>
          </cell>
          <cell r="AD10" t="str">
            <v>Коагулянт - полиоксихлорид алюминия 18 %</v>
          </cell>
        </row>
        <row r="11">
          <cell r="C11">
            <v>2019</v>
          </cell>
          <cell r="D11">
            <v>10</v>
          </cell>
          <cell r="AD11" t="str">
            <v>Коагулянт - полиоксихлорид алюминия 30 %</v>
          </cell>
        </row>
        <row r="12">
          <cell r="C12">
            <v>2020</v>
          </cell>
          <cell r="D12">
            <v>11</v>
          </cell>
          <cell r="AD12" t="str">
            <v xml:space="preserve">Коагулянт - сульфат алюминия </v>
          </cell>
        </row>
        <row r="13">
          <cell r="C13">
            <v>2021</v>
          </cell>
          <cell r="D13">
            <v>12</v>
          </cell>
          <cell r="G13" t="str">
            <v>Январь</v>
          </cell>
          <cell r="AD13" t="str">
            <v>Коагулянт - прочие</v>
          </cell>
        </row>
        <row r="14">
          <cell r="G14" t="str">
            <v>Февраль</v>
          </cell>
          <cell r="AD14" t="str">
            <v>Флокулянт - Магнафлок</v>
          </cell>
        </row>
        <row r="15">
          <cell r="G15" t="str">
            <v>Март</v>
          </cell>
          <cell r="AD15" t="str">
            <v>Флокулянт - Праестол</v>
          </cell>
        </row>
        <row r="16">
          <cell r="G16" t="str">
            <v>Апрель</v>
          </cell>
          <cell r="AD16" t="str">
            <v>Флокулянт - Праестол 853 BC</v>
          </cell>
        </row>
        <row r="17">
          <cell r="G17" t="str">
            <v>Май</v>
          </cell>
          <cell r="AB17" t="str">
            <v>хоз. Способ</v>
          </cell>
          <cell r="AD17" t="str">
            <v>Флокулянт - Праестол 650 BC</v>
          </cell>
        </row>
        <row r="18">
          <cell r="G18" t="str">
            <v>Июнь</v>
          </cell>
          <cell r="AB18" t="str">
            <v>подряд. Способ</v>
          </cell>
          <cell r="AD18" t="str">
            <v>Флокулянт - Праестол 2515 TR</v>
          </cell>
        </row>
        <row r="19">
          <cell r="G19" t="str">
            <v>Июль</v>
          </cell>
          <cell r="AD19" t="str">
            <v>Флокулянт - Гринлайф К 47</v>
          </cell>
        </row>
        <row r="20">
          <cell r="G20" t="str">
            <v>Август</v>
          </cell>
          <cell r="AD20" t="str">
            <v>Флокулянт - Гринлайф К 41</v>
          </cell>
        </row>
        <row r="21">
          <cell r="G21" t="str">
            <v>Сентябрь</v>
          </cell>
          <cell r="AD21" t="str">
            <v>Флокулянт - Гринлайф А 10 ПВ</v>
          </cell>
        </row>
        <row r="22">
          <cell r="G22" t="str">
            <v>Октябрь</v>
          </cell>
          <cell r="AD22" t="str">
            <v>Флокулянт - прочие</v>
          </cell>
        </row>
        <row r="23">
          <cell r="G23" t="str">
            <v>Ноябрь</v>
          </cell>
          <cell r="AD23" t="str">
            <v>Реагент - агар питательный</v>
          </cell>
        </row>
        <row r="24">
          <cell r="G24" t="str">
            <v>Декабрь</v>
          </cell>
          <cell r="AD24" t="str">
            <v>Реагент - агар Эндо</v>
          </cell>
        </row>
        <row r="25">
          <cell r="AD25" t="str">
            <v>Реагент - алюминий окись</v>
          </cell>
        </row>
        <row r="26">
          <cell r="AD26" t="str">
            <v>Реагент - алюминий сернокислый</v>
          </cell>
        </row>
        <row r="27">
          <cell r="AD27" t="str">
            <v>Реагент - аммиак</v>
          </cell>
        </row>
        <row r="28">
          <cell r="AD28" t="str">
            <v>Реагент - аммиачная вода</v>
          </cell>
        </row>
        <row r="29">
          <cell r="AD29" t="str">
            <v>Реагент - аммоний</v>
          </cell>
        </row>
        <row r="30">
          <cell r="G30" t="str">
            <v>ВН1</v>
          </cell>
          <cell r="AD30" t="str">
            <v>Реагент - аммоний хлористый</v>
          </cell>
        </row>
        <row r="31">
          <cell r="G31" t="str">
            <v>ВН</v>
          </cell>
          <cell r="AD31" t="str">
            <v>Реагент - барий хлористый</v>
          </cell>
        </row>
        <row r="32">
          <cell r="G32" t="str">
            <v>СН1</v>
          </cell>
          <cell r="AD32" t="str">
            <v>Реагент - биоксимин</v>
          </cell>
        </row>
        <row r="33">
          <cell r="G33" t="str">
            <v>СН2</v>
          </cell>
          <cell r="AD33" t="str">
            <v>Реагент - бромфеноловый синий</v>
          </cell>
        </row>
        <row r="34">
          <cell r="G34" t="str">
            <v>НН</v>
          </cell>
          <cell r="AD34" t="str">
            <v>Реагент - водорода перекись</v>
          </cell>
        </row>
        <row r="35">
          <cell r="AD35" t="str">
            <v>Реагент - гексан</v>
          </cell>
        </row>
        <row r="36">
          <cell r="AD36" t="str">
            <v>Реагент - гидроксиламин солянокислый</v>
          </cell>
        </row>
        <row r="37">
          <cell r="AD37" t="str">
            <v>Реагент - гидрохлорид кальция</v>
          </cell>
        </row>
        <row r="38">
          <cell r="AD38" t="str">
            <v>Реагент - гипохлорит кальция</v>
          </cell>
        </row>
        <row r="39">
          <cell r="AD39" t="str">
            <v>Реагент - гипохлорит натрия</v>
          </cell>
        </row>
        <row r="40">
          <cell r="AD40" t="str">
            <v>Реагент - глицерин</v>
          </cell>
        </row>
        <row r="41">
          <cell r="AD41" t="str">
            <v>Реагент - дифенилкарбазид</v>
          </cell>
        </row>
        <row r="42">
          <cell r="AD42" t="str">
            <v>Реагент - дифенилкарбазон</v>
          </cell>
        </row>
        <row r="43">
          <cell r="AD43" t="str">
            <v>Реагент - железо сернокислое</v>
          </cell>
        </row>
        <row r="44">
          <cell r="AD44" t="str">
            <v>Реагент - железо трёххлористое</v>
          </cell>
        </row>
        <row r="45">
          <cell r="AD45" t="str">
            <v>Реагент - известь негашёная (порошок)</v>
          </cell>
        </row>
        <row r="46">
          <cell r="AD46" t="str">
            <v>Реагент - известь негашёная гидратная</v>
          </cell>
        </row>
        <row r="47">
          <cell r="AD47" t="str">
            <v>Реагент - известь хлорная</v>
          </cell>
        </row>
        <row r="48">
          <cell r="AD48" t="str">
            <v>Реагент - калий азотнокислый</v>
          </cell>
        </row>
        <row r="49">
          <cell r="AD49" t="str">
            <v>Реагент - калий двухромовокислый</v>
          </cell>
        </row>
        <row r="50">
          <cell r="AD50" t="str">
            <v>Реагент - калий йодистый</v>
          </cell>
        </row>
        <row r="51">
          <cell r="AD51" t="str">
            <v>Реагент - калий марганцевокислый</v>
          </cell>
        </row>
        <row r="52">
          <cell r="AD52" t="str">
            <v>Реагент - калий фосфорнокислый</v>
          </cell>
        </row>
        <row r="53">
          <cell r="AD53" t="str">
            <v>Реагент - калий хлористый</v>
          </cell>
        </row>
        <row r="54">
          <cell r="AD54" t="str">
            <v>Реагент - калий-натрий виннокислый</v>
          </cell>
        </row>
        <row r="55">
          <cell r="AD55" t="str">
            <v>Реагент - кальций углекислый</v>
          </cell>
        </row>
        <row r="56">
          <cell r="AD56" t="str">
            <v>Реагент - кальций хлористый</v>
          </cell>
        </row>
        <row r="57">
          <cell r="AD57" t="str">
            <v>Реагент - кальция гипохлорит</v>
          </cell>
        </row>
        <row r="58">
          <cell r="AD58" t="str">
            <v>Реагент - кварцевый песок</v>
          </cell>
        </row>
        <row r="59">
          <cell r="AD59" t="str">
            <v>Реагент - кислота азотная</v>
          </cell>
        </row>
        <row r="60">
          <cell r="AD60" t="str">
            <v>Реагент - кислота аскорбиновая</v>
          </cell>
        </row>
        <row r="61">
          <cell r="AD61" t="str">
            <v>Реагент - кислота лимонная</v>
          </cell>
        </row>
        <row r="62">
          <cell r="AD62" t="str">
            <v>Реагент - кислота розоловая (аурин)</v>
          </cell>
        </row>
        <row r="63">
          <cell r="AD63" t="str">
            <v>Реагент - кислота серная</v>
          </cell>
        </row>
        <row r="64">
          <cell r="AD64" t="str">
            <v>Реагент - кислота соляная</v>
          </cell>
        </row>
        <row r="65">
          <cell r="AD65" t="str">
            <v>Реагент - кислота уксусная</v>
          </cell>
        </row>
        <row r="66">
          <cell r="AD66" t="str">
            <v>Реагент - кислота щавелевая</v>
          </cell>
        </row>
        <row r="67">
          <cell r="AD67" t="str">
            <v>Реагент - крахмал</v>
          </cell>
        </row>
        <row r="68">
          <cell r="G68" t="str">
            <v>Нет дополнительных признаков</v>
          </cell>
          <cell r="H68" t="str">
            <v>Нет дополнительных признаков</v>
          </cell>
          <cell r="AD68" t="str">
            <v>Реагент - лантан азотнокислый</v>
          </cell>
        </row>
        <row r="69">
          <cell r="G69" t="str">
            <v>Оказание услуг на территории: Глазовский муниципальный район (ОКТМО: 94610000) - В. Сепыч, Пусошур, Отогурт, Кочишево, Т./У. Парзи, Лумпашур, Ураково, Золотарево, Понино, Митино, Изошур, Коршуново, Пудвай, Помояг, Чажайский лесоучасток, В./Н. Слудка, Пышкец, Люм, В./Н. Богатырка, Педоново, Дзякино</v>
          </cell>
          <cell r="H69" t="str">
            <v>Оказание услуг на территории: Воткинский муниципальный район (ОКТМО: 94608000) - иные централизованные системы водоотведения</v>
          </cell>
          <cell r="AD69" t="str">
            <v>Реагент - магний сернокислый</v>
          </cell>
        </row>
        <row r="70">
          <cell r="G70" t="str">
            <v>Оказание услуг на территории: Глазовский муниципальный район (ОКТМО: 94610000) - д Адам, д Солдырь, дом отдыха "Чепца" - транспортировка воды</v>
          </cell>
          <cell r="H70" t="str">
            <v>Оказание услуг на территории: Воткинский муниципальный район (ОКТМО: 94608000) - кроме с Июльское</v>
          </cell>
          <cell r="AD70" t="str">
            <v>Реагент - модифицированные аминофосфоновые кислоты и фосфонаты (FLOSPERSE)</v>
          </cell>
        </row>
        <row r="71">
          <cell r="G71" t="str">
            <v>Оказание услуг на территории: Глазовский муниципальный район (ОКТМО: 94610000) - с Октябрьский, д Трубашур, д Омутница, д Сепыч, д Качкашур, д Лекшур, д Умск, д М Лудошур, д Большой Лудошур</v>
          </cell>
          <cell r="H71" t="str">
            <v>Оказание услуг на территории: Воткинский муниципальный район (ОКТМО: 94608000) - с Июльское</v>
          </cell>
          <cell r="AD71" t="str">
            <v>Реагент - натр едкий</v>
          </cell>
        </row>
        <row r="72">
          <cell r="G72" t="str">
            <v>Оказание услуг на территории: Граховский муниципальный район (ОКТМО: 94612000) - д Лолошур-Возжи, д Паново, д Нижние Юраши, д Горные Юраши, д Мещеряково, д Мамаево</v>
          </cell>
          <cell r="H72" t="str">
            <v>Оказание услуг на территории: Воткинский муниципальный район (ОКТМО: 94608000) - с Перевозное</v>
          </cell>
          <cell r="AD72" t="str">
            <v>Реагент - натрий гидроокись</v>
          </cell>
        </row>
        <row r="73">
          <cell r="G73" t="str">
            <v>Оказание услуг на территории: Граховский муниципальный район (ОКТМО: 94612000) - кроме с Новогорское, д Кокшан, д Нижний Тыловай, д Мари-Возжай, д Сайка, д Соловьевка, д Котловка, д Яги-Какси, д Макарово, д Лолошур-Возжи, д Паново, д Нижние Юраши, д Горные Юраши, д Мещеряково, д Мамаево</v>
          </cell>
          <cell r="H73" t="str">
            <v>Оказание услуг на территории: Воткинский муниципальный район (ОКТМО: 94608000) - система водоотведения с применением биологической очистки</v>
          </cell>
          <cell r="AD73" t="str">
            <v>Реагент - натрий салициловокислый</v>
          </cell>
        </row>
        <row r="74">
          <cell r="G74" t="str">
            <v>Оказание услуг на территории: Граховский муниципальный район (ОКТМО: 94612000) - с Новогорское, д Кокшан, д Нижний Тыловай, д Мари-Возжай, д Сайка, д Соловьевка, д Котловка, д Яги-Какси, д Макарово</v>
          </cell>
          <cell r="H74" t="str">
            <v>Оказание услуг на территории: Воткинский муниципальный район (ОКТМО: 94608000) - система водоотведения с применением механической очистки</v>
          </cell>
          <cell r="AD74" t="str">
            <v>Реагент - натрий сернокислый</v>
          </cell>
        </row>
        <row r="75">
          <cell r="G75" t="str">
            <v>Оказание услуг на территории: Завьяловский муниципальный район (ОКТМО: 94616000) - д Казмаска</v>
          </cell>
          <cell r="H75" t="str">
            <v>Оказание услуг на территории: Малопургинский муниципальный район (ОКТМО: 94633000) - БУЗ УР "РДС "Юськи"</v>
          </cell>
          <cell r="AD75" t="str">
            <v>Реагент - натрий углекислый</v>
          </cell>
        </row>
        <row r="76">
          <cell r="G76" t="str">
            <v>Оказание услуг на территории: Завьяловский муниципальный район (ОКТМО: 94616000) - д Якшур</v>
          </cell>
          <cell r="H76" t="str">
            <v>Оказание услуг на территории: Малопургинский муниципальный район (ОКТМО: 94633000) - в/г с Пугачево</v>
          </cell>
          <cell r="AD76" t="str">
            <v>Реагент - натрий уксуснокислый</v>
          </cell>
        </row>
        <row r="77">
          <cell r="G77" t="str">
            <v>Оказание услуг на территории: Завьяловский муниципальный район (ОКТМО: 94616000) - кроме д Казмаска и д Якшур</v>
          </cell>
          <cell r="H77" t="str">
            <v>Оказание услуг на территории: Малопургинский муниципальный район (ОКТМО: 94633000) - системы водоотведения прочим потребителям</v>
          </cell>
          <cell r="AD77" t="str">
            <v>Реагент - натрий хлористый</v>
          </cell>
        </row>
        <row r="78">
          <cell r="G78" t="str">
            <v>Оказание услуг на территории: Завьяловский муниципальный район (ОКТМО: 94616000) - п Октябрьский</v>
          </cell>
          <cell r="H78" t="str">
            <v>Оказание услуг на территории: Сарапульский муниципальный район (ОКТМО: 94637000) - кроме с Сигаево, с Северный</v>
          </cell>
          <cell r="AD78" t="str">
            <v>Реагент - пеногаситель (FLOFOAM)</v>
          </cell>
        </row>
        <row r="79">
          <cell r="G79" t="str">
            <v>Оказание услуг на территории: Завьяловский муниципальный район (ОКТМО: 94616000) - с Вараксино</v>
          </cell>
          <cell r="H79" t="str">
            <v>Оказание услуг на территории: Сарапульский муниципальный район (ОКТМО: 94637000) - кроме с Уральский, д Девятово</v>
          </cell>
          <cell r="AD79" t="str">
            <v>Реагент - реактив Грисса</v>
          </cell>
        </row>
        <row r="80">
          <cell r="G80" t="str">
            <v>Оказание услуг на территории: Малопургинский муниципальный район (ОКТМО: 94633000) - в/г с Пугачево</v>
          </cell>
          <cell r="H80" t="str">
            <v>Оказание услуг на территории: Сарапульский муниципальный район (ОКТМО: 94637000) - с Сигаево, с Северный</v>
          </cell>
          <cell r="AD80" t="str">
            <v>Реагент - реактив Несслера</v>
          </cell>
        </row>
        <row r="81">
          <cell r="G81" t="str">
            <v>Оказание услуг на территории: Малопургинский муниципальный район (ОКТМО: 94633000) - иные централизованные системы водоснабжения</v>
          </cell>
          <cell r="H81" t="str">
            <v>Оказание услуг на территории: Сарапульский муниципальный район (ОКТМО: 94637000) - с Уральский, д Девятово</v>
          </cell>
          <cell r="AD81" t="str">
            <v>Реагент - свинец уксуснокислый</v>
          </cell>
        </row>
        <row r="82">
          <cell r="G82" t="str">
            <v>Оказание услуг на территории: Можгинский муниципальный район (ОКТМО: 94635000) - д Верхние Юри</v>
          </cell>
          <cell r="H82" t="str">
            <v>Оказание услуг на территории: Увинский муниципальный район (ОКТМО: 94644000) - кроме мкрн. Южный</v>
          </cell>
          <cell r="AD82" t="str">
            <v>Реагент - серебро азотнокислое</v>
          </cell>
        </row>
        <row r="83">
          <cell r="G83" t="str">
            <v>Оказание услуг на территории: Можгинский муниципальный район (ОКТМО: 94635000) - д Малая Сюга, д Малая Копка</v>
          </cell>
          <cell r="H83" t="str">
            <v>Оказание услуг на территории: Увинский муниципальный район (ОКТМО: 94644000) - мкрн. Южный</v>
          </cell>
          <cell r="AD83" t="str">
            <v>Реагент - серебро сернокислое</v>
          </cell>
        </row>
        <row r="84">
          <cell r="G84" t="str">
            <v>Оказание услуг на территории: Можгинский муниципальный район (ОКТМО: 94635000) - кроме д Малая Сюга, д Малая копка, д Верхние Юри</v>
          </cell>
          <cell r="H84" t="str">
            <v>водоотведение</v>
          </cell>
          <cell r="AD84" t="str">
            <v>Реагент - сода кальцинированная</v>
          </cell>
        </row>
        <row r="85">
          <cell r="G85" t="str">
            <v>Оказание услуг на территории: Сарапульский муниципальный район (ОКТМО: 94637000) - кроме с Октябрьский</v>
          </cell>
          <cell r="H85" t="str">
            <v>очистка сточных вод</v>
          </cell>
          <cell r="AD85" t="str">
            <v>Реагент - сода каустическая</v>
          </cell>
        </row>
        <row r="86">
          <cell r="G86" t="str">
            <v>Оказание услуг на территории: Сарапульский муниципальный район (ОКТМО: 94637000) - кроме с Сигаево ул. Трудовой, д. 1, 2, 3, 4, 6; ул. Советской, д. 90, 102, 104, 106, 108, 110, 112; в частном секторе по чётной стороне ул. Советской от д. 2 - 88</v>
          </cell>
          <cell r="AD86" t="str">
            <v>Реагент - соль 1 сорт</v>
          </cell>
        </row>
        <row r="87">
          <cell r="G87" t="str">
            <v>Оказание услуг на территории: Сарапульский муниципальный район (ОКТМО: 94637000) - кроме с Уральский, д Девятово</v>
          </cell>
          <cell r="AD87" t="str">
            <v>Реагент - соль пищевая поваренная</v>
          </cell>
        </row>
        <row r="88">
          <cell r="G88" t="str">
            <v>Оказание услуг на территории: Сарапульский муниципальный район (ОКТМО: 94637000) - с Октябрьский</v>
          </cell>
          <cell r="AD88" t="str">
            <v>Реагент - соль таблетированная</v>
          </cell>
        </row>
        <row r="89">
          <cell r="G89" t="str">
            <v>Оказание услуг на территории: Сарапульский муниципальный район (ОКТМО: 94637000) - с Сигаево ул. Трудовой, д. 1, 2, 3, 4, 6; ул. Советской, д. 90, 102, 104, 106, 108, 110, 112; в частном секторе по чётной стороне ул. Советской от д. 2 - 88</v>
          </cell>
          <cell r="AD89" t="str">
            <v>Реагент - соль техническая</v>
          </cell>
        </row>
        <row r="90">
          <cell r="G90" t="str">
            <v>Оказание услуг на территории: Сарапульский муниципальный район (ОКТМО: 94637000) - с Уральский, д Девятово</v>
          </cell>
          <cell r="AD90" t="str">
            <v>Реагент - соль экстра</v>
          </cell>
        </row>
        <row r="91">
          <cell r="G91" t="str">
            <v>Оказание услуг на территории: Увинский муниципальный район (ОКТМО: 94644000) - кроме микрорайона "Южный" п Ува</v>
          </cell>
          <cell r="AD91" t="str">
            <v>Реагент - спирт</v>
          </cell>
        </row>
        <row r="92">
          <cell r="G92" t="str">
            <v>Оказание услуг на территории: Увинский муниципальный район (ОКТМО: 94644000) - микрорайон "Южный" п Ува</v>
          </cell>
          <cell r="AD92" t="str">
            <v>Реагент - сульфат алюминия 1 сорт</v>
          </cell>
        </row>
        <row r="93">
          <cell r="G93" t="str">
            <v>Оказание услуг на территории: Шарканский муниципальный район (ОКТМО: 94646000) - д Мувыр, д Новый Пашур, д Вукогурт, д Старый Пашур, д Нырошур, д Пашур-Вишур, д Ляльшур, д Табанево, с Сосновка</v>
          </cell>
          <cell r="AD93" t="str">
            <v>Реагент - сульфат алюминия жидкий</v>
          </cell>
        </row>
        <row r="94">
          <cell r="G94" t="str">
            <v>Оказание услуг на территории: Шарканский муниципальный район (ОКТМО: 94646000) - кроме д Мувыр, д Новый Пашур, д Вукогурт, д Старый Пашур, д Нырошур, д Пашур-Вишур, д Ляльшур, д Табанево, с Сосновка</v>
          </cell>
          <cell r="AD94" t="str">
            <v>Реагент - сульфат алюминия технический</v>
          </cell>
        </row>
        <row r="95">
          <cell r="AD95" t="str">
            <v>Реагент - сульфат аммония</v>
          </cell>
        </row>
        <row r="96">
          <cell r="AD96" t="str">
            <v>Реагент - тиомочевина</v>
          </cell>
        </row>
        <row r="97">
          <cell r="AD97" t="str">
            <v>Реагент - тиосульфат натрия</v>
          </cell>
        </row>
        <row r="98">
          <cell r="AD98" t="str">
            <v>Реагент - углерод порошкообразный</v>
          </cell>
        </row>
        <row r="99">
          <cell r="AD99" t="str">
            <v>Реагент - углерод четырёххлористый</v>
          </cell>
        </row>
        <row r="100">
          <cell r="AD100" t="str">
            <v>Реагент - фенолфталеин</v>
          </cell>
        </row>
        <row r="101">
          <cell r="AD101" t="str">
            <v>Реагент - хлор</v>
          </cell>
        </row>
        <row r="102">
          <cell r="AD102" t="str">
            <v>Реагент - хлор жидкий</v>
          </cell>
        </row>
        <row r="103">
          <cell r="AD103" t="str">
            <v>Реагент - хлорамин</v>
          </cell>
        </row>
        <row r="104">
          <cell r="AD104" t="str">
            <v>Реагент - хлороформ</v>
          </cell>
        </row>
        <row r="105">
          <cell r="AD105" t="str">
            <v>Реагент - этиленгликоль</v>
          </cell>
        </row>
        <row r="106">
          <cell r="AD106" t="str">
            <v>Реагент - прочие</v>
          </cell>
        </row>
        <row r="107">
          <cell r="AD107" t="str">
            <v>Прочие</v>
          </cell>
        </row>
      </sheetData>
      <sheetData sheetId="17" refreshError="1">
        <row r="4">
          <cell r="H4" t="str">
            <v>собственность</v>
          </cell>
          <cell r="L4" t="str">
            <v>прямые расходы</v>
          </cell>
        </row>
        <row r="5">
          <cell r="H5" t="str">
            <v xml:space="preserve">аренда </v>
          </cell>
          <cell r="L5" t="str">
            <v>выручка</v>
          </cell>
        </row>
        <row r="6">
          <cell r="H6" t="str">
            <v>оперативное управление</v>
          </cell>
          <cell r="L6" t="str">
            <v>оплата труда</v>
          </cell>
        </row>
        <row r="7">
          <cell r="H7" t="str">
            <v>хозяйственное ведение</v>
          </cell>
          <cell r="L7" t="str">
            <v>иное</v>
          </cell>
        </row>
        <row r="8">
          <cell r="H8" t="str">
            <v>концессия</v>
          </cell>
        </row>
        <row r="12">
          <cell r="C12" t="str">
            <v>Метод индексации</v>
          </cell>
        </row>
        <row r="13">
          <cell r="C13" t="str">
            <v>МЭОР</v>
          </cell>
        </row>
        <row r="14">
          <cell r="C14" t="str">
            <v>Метод сравнения аналогов</v>
          </cell>
        </row>
        <row r="15">
          <cell r="C15" t="str">
            <v>Не регулировалась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4">
          <cell r="F14" t="str">
            <v>ООО "Кезкоммунсервис"</v>
          </cell>
        </row>
        <row r="23">
          <cell r="F23" t="str">
            <v>427580, УР, Кезский район, п. Кез, ул. Ленина, д. 48</v>
          </cell>
        </row>
        <row r="26">
          <cell r="F26" t="str">
            <v>Кезский муниципальный район</v>
          </cell>
        </row>
      </sheetData>
      <sheetData sheetId="28" refreshError="1"/>
      <sheetData sheetId="29" refreshError="1">
        <row r="24">
          <cell r="F24">
            <v>1</v>
          </cell>
          <cell r="G24" t="str">
            <v>Основной вид деятельности</v>
          </cell>
          <cell r="H24" t="str">
            <v>68.32 (Управление недвижимым имуществом за вознаграждение или на договорной основе)</v>
          </cell>
        </row>
        <row r="25">
          <cell r="F25">
            <v>2</v>
          </cell>
          <cell r="G25" t="str">
            <v>Право владения объектами водоотведения</v>
          </cell>
          <cell r="H25" t="str">
            <v>концессия</v>
          </cell>
        </row>
        <row r="26">
          <cell r="F26">
            <v>3</v>
          </cell>
          <cell r="G26" t="str">
            <v>Реквизиты документов (наименование, № и дата), подтверждающие право владения объектами коммунальной инфраструктуры</v>
          </cell>
          <cell r="H26" t="str">
            <v>Концессионное соглашение №1 от 24.03.2014 года</v>
          </cell>
        </row>
        <row r="27">
          <cell r="F27">
            <v>4</v>
          </cell>
          <cell r="G27" t="str">
            <v>Поверхностные источники водозабора</v>
          </cell>
        </row>
        <row r="28">
          <cell r="F28">
            <v>4</v>
          </cell>
          <cell r="G28" t="str">
            <v>Количество канализационных насосных станций, ед.</v>
          </cell>
          <cell r="H28">
            <v>1</v>
          </cell>
        </row>
        <row r="29">
          <cell r="F29">
            <v>5</v>
          </cell>
          <cell r="G29" t="str">
            <v>Суммарная установленная производственная мощность канализационных насосных станций, (куб.м/час.)</v>
          </cell>
          <cell r="H29">
            <v>8.1999999999999993</v>
          </cell>
        </row>
        <row r="30">
          <cell r="F30">
            <v>5</v>
          </cell>
          <cell r="G30" t="str">
            <v>Количество водонапорных башен, ед.</v>
          </cell>
        </row>
        <row r="31">
          <cell r="F31">
            <v>6</v>
          </cell>
          <cell r="G31" t="str">
            <v>Протяженность сетей водоотведения, км</v>
          </cell>
          <cell r="H31">
            <v>2.1364000000000001</v>
          </cell>
        </row>
        <row r="32">
          <cell r="F32">
            <v>7</v>
          </cell>
          <cell r="G32" t="str">
            <v>Суммарная установленная производственная мощность транспортировки сточных вод, (куб.м/час.)</v>
          </cell>
          <cell r="H32">
            <v>8.1999999999999993</v>
          </cell>
        </row>
        <row r="33">
          <cell r="F33">
            <v>8</v>
          </cell>
          <cell r="G33" t="str">
            <v>Количество канализационных очистных сооружений, ед.</v>
          </cell>
          <cell r="H33">
            <v>1</v>
          </cell>
        </row>
        <row r="34">
          <cell r="F34">
            <v>9</v>
          </cell>
          <cell r="G34" t="str">
            <v>Суммарная установленная производственная мощность канализационных очистных сооружений, (куб.м/час.)</v>
          </cell>
          <cell r="H34">
            <v>8.1999999999999993</v>
          </cell>
        </row>
        <row r="35">
          <cell r="F35">
            <v>10</v>
          </cell>
          <cell r="G35" t="str">
            <v>Наименования обслуживаемых населенных пунктов</v>
          </cell>
          <cell r="H35" t="str">
            <v>УР, Кезский район, п. Кез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5">
          <cell r="W25">
            <v>0</v>
          </cell>
          <cell r="AB25">
            <v>0</v>
          </cell>
        </row>
        <row r="30">
          <cell r="W30">
            <v>0</v>
          </cell>
          <cell r="AB30">
            <v>0</v>
          </cell>
        </row>
        <row r="31">
          <cell r="W31">
            <v>0</v>
          </cell>
          <cell r="AB31">
            <v>0</v>
          </cell>
        </row>
        <row r="33">
          <cell r="W33">
            <v>0</v>
          </cell>
          <cell r="AB33">
            <v>0</v>
          </cell>
        </row>
        <row r="36">
          <cell r="W36">
            <v>0</v>
          </cell>
          <cell r="AB36">
            <v>0</v>
          </cell>
        </row>
        <row r="37">
          <cell r="W37">
            <v>0</v>
          </cell>
          <cell r="AB37">
            <v>0</v>
          </cell>
        </row>
        <row r="42">
          <cell r="W42">
            <v>0</v>
          </cell>
          <cell r="AB42">
            <v>0</v>
          </cell>
        </row>
        <row r="46">
          <cell r="W46">
            <v>0</v>
          </cell>
          <cell r="AB46">
            <v>0</v>
          </cell>
        </row>
        <row r="52">
          <cell r="W52">
            <v>0</v>
          </cell>
          <cell r="AB52">
            <v>0</v>
          </cell>
        </row>
      </sheetData>
      <sheetData sheetId="48" refreshError="1">
        <row r="24">
          <cell r="V24">
            <v>21</v>
          </cell>
          <cell r="AB24">
            <v>15.86</v>
          </cell>
        </row>
        <row r="25">
          <cell r="V25">
            <v>0</v>
          </cell>
          <cell r="AB25">
            <v>0</v>
          </cell>
        </row>
        <row r="26">
          <cell r="V26">
            <v>21</v>
          </cell>
          <cell r="AB26">
            <v>15.86</v>
          </cell>
        </row>
        <row r="27">
          <cell r="V27">
            <v>21</v>
          </cell>
          <cell r="AB27">
            <v>15.86</v>
          </cell>
        </row>
        <row r="28">
          <cell r="V28">
            <v>10</v>
          </cell>
          <cell r="AB28">
            <v>7.29</v>
          </cell>
        </row>
        <row r="29">
          <cell r="V29">
            <v>11</v>
          </cell>
          <cell r="AB29">
            <v>8.57</v>
          </cell>
        </row>
        <row r="30">
          <cell r="V30">
            <v>0</v>
          </cell>
          <cell r="AB30">
            <v>0</v>
          </cell>
        </row>
        <row r="31">
          <cell r="V31">
            <v>0</v>
          </cell>
          <cell r="AB31">
            <v>0</v>
          </cell>
        </row>
        <row r="34">
          <cell r="V34">
            <v>0</v>
          </cell>
          <cell r="AB34">
            <v>0</v>
          </cell>
        </row>
        <row r="35">
          <cell r="V35">
            <v>21</v>
          </cell>
          <cell r="AB35">
            <v>15.86</v>
          </cell>
        </row>
        <row r="36">
          <cell r="V36">
            <v>21</v>
          </cell>
          <cell r="AB36">
            <v>15.86</v>
          </cell>
        </row>
        <row r="37">
          <cell r="V37">
            <v>0</v>
          </cell>
          <cell r="AB37">
            <v>0</v>
          </cell>
        </row>
        <row r="40">
          <cell r="V40">
            <v>21</v>
          </cell>
          <cell r="AB40">
            <v>15.86</v>
          </cell>
        </row>
        <row r="41">
          <cell r="V41">
            <v>0</v>
          </cell>
          <cell r="AB41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25">
          <cell r="O25">
            <v>0</v>
          </cell>
          <cell r="P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8">
          <cell r="O28">
            <v>0</v>
          </cell>
          <cell r="P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2">
          <cell r="O32">
            <v>100</v>
          </cell>
          <cell r="P32">
            <v>100</v>
          </cell>
          <cell r="AD32">
            <v>100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5">
          <cell r="O35">
            <v>0</v>
          </cell>
          <cell r="P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8">
          <cell r="O38">
            <v>0</v>
          </cell>
          <cell r="P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42">
          <cell r="O42">
            <v>23.364485981308409</v>
          </cell>
          <cell r="P42">
            <v>28.037383177570092</v>
          </cell>
          <cell r="AD42">
            <v>18.72308556450103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6">
          <cell r="O46">
            <v>0</v>
          </cell>
          <cell r="P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9">
          <cell r="O49">
            <v>0</v>
          </cell>
          <cell r="P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2">
          <cell r="O52">
            <v>0</v>
          </cell>
          <cell r="P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>
        <row r="27">
          <cell r="J27">
            <v>20.059999999999999</v>
          </cell>
          <cell r="L27">
            <v>0</v>
          </cell>
          <cell r="M27">
            <v>0</v>
          </cell>
        </row>
        <row r="37">
          <cell r="J37">
            <v>19.940000000000001</v>
          </cell>
          <cell r="L37">
            <v>0</v>
          </cell>
          <cell r="M37">
            <v>20</v>
          </cell>
        </row>
        <row r="39">
          <cell r="J39">
            <v>190.95</v>
          </cell>
          <cell r="L39">
            <v>58.298999999999999</v>
          </cell>
          <cell r="M39">
            <v>190.95</v>
          </cell>
        </row>
        <row r="40">
          <cell r="J40">
            <v>15912.5</v>
          </cell>
          <cell r="L40">
            <v>19433</v>
          </cell>
          <cell r="M40">
            <v>15912.5</v>
          </cell>
        </row>
        <row r="41">
          <cell r="J41">
            <v>1</v>
          </cell>
          <cell r="L41">
            <v>1</v>
          </cell>
          <cell r="M41">
            <v>1</v>
          </cell>
        </row>
        <row r="42">
          <cell r="J42">
            <v>57.667000000000002</v>
          </cell>
          <cell r="L42">
            <v>17.606000000000002</v>
          </cell>
          <cell r="M42">
            <v>57.67</v>
          </cell>
        </row>
        <row r="45">
          <cell r="J45">
            <v>0</v>
          </cell>
          <cell r="L45">
            <v>0</v>
          </cell>
          <cell r="M45">
            <v>0</v>
          </cell>
        </row>
        <row r="47">
          <cell r="J47">
            <v>56.68</v>
          </cell>
          <cell r="L47">
            <v>0</v>
          </cell>
          <cell r="M47">
            <v>60</v>
          </cell>
        </row>
        <row r="48">
          <cell r="J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L49">
            <v>0</v>
          </cell>
          <cell r="M49">
            <v>0</v>
          </cell>
        </row>
        <row r="50">
          <cell r="P50">
            <v>0</v>
          </cell>
        </row>
        <row r="51">
          <cell r="J51">
            <v>0</v>
          </cell>
          <cell r="L51">
            <v>0</v>
          </cell>
          <cell r="M51">
            <v>0</v>
          </cell>
          <cell r="P51">
            <v>0</v>
          </cell>
        </row>
        <row r="52">
          <cell r="J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L53">
            <v>0</v>
          </cell>
          <cell r="M53">
            <v>0</v>
          </cell>
        </row>
        <row r="54">
          <cell r="J54">
            <v>169</v>
          </cell>
          <cell r="L54">
            <v>38</v>
          </cell>
          <cell r="M54">
            <v>170</v>
          </cell>
        </row>
        <row r="55">
          <cell r="J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L56">
            <v>0</v>
          </cell>
          <cell r="M56">
            <v>0</v>
          </cell>
        </row>
        <row r="57">
          <cell r="J57">
            <v>0</v>
          </cell>
          <cell r="L57">
            <v>6.1619999999999999</v>
          </cell>
          <cell r="M57">
            <v>24.648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>
        <row r="34">
          <cell r="H34">
            <v>309.6405506092587</v>
          </cell>
        </row>
      </sheetData>
      <sheetData sheetId="106" refreshError="1"/>
      <sheetData sheetId="107" refreshError="1"/>
      <sheetData sheetId="108" refreshError="1"/>
      <sheetData sheetId="109" refreshError="1"/>
      <sheetData sheetId="110" refreshError="1">
        <row r="25">
          <cell r="I25">
            <v>224.92000000000002</v>
          </cell>
          <cell r="K25">
            <v>232.78</v>
          </cell>
          <cell r="P25">
            <v>220.15192500000001</v>
          </cell>
          <cell r="S25">
            <v>-3098.8640328914366</v>
          </cell>
          <cell r="V25">
            <v>236103.69021161174</v>
          </cell>
          <cell r="Y25">
            <v>243092.35944187545</v>
          </cell>
          <cell r="AB25">
            <v>250287.89328135495</v>
          </cell>
        </row>
        <row r="26">
          <cell r="T26">
            <v>-1432.1932167916132</v>
          </cell>
          <cell r="W26">
            <v>-7619.0400000000009</v>
          </cell>
          <cell r="Z26">
            <v>102.96000000000001</v>
          </cell>
          <cell r="AC26">
            <v>102.95999999999998</v>
          </cell>
        </row>
        <row r="34">
          <cell r="I34">
            <v>300</v>
          </cell>
          <cell r="K34">
            <v>235.29</v>
          </cell>
          <cell r="P34">
            <v>0</v>
          </cell>
          <cell r="S34">
            <v>0</v>
          </cell>
          <cell r="V34">
            <v>0</v>
          </cell>
          <cell r="Y34">
            <v>0</v>
          </cell>
          <cell r="AB34">
            <v>0</v>
          </cell>
        </row>
        <row r="52">
          <cell r="I52">
            <v>524.92000000000007</v>
          </cell>
          <cell r="J52">
            <v>558.29199999999992</v>
          </cell>
          <cell r="K52">
            <v>468.07</v>
          </cell>
          <cell r="P52">
            <v>361.15192500000001</v>
          </cell>
          <cell r="S52">
            <v>-3098.8640328914366</v>
          </cell>
          <cell r="V52">
            <v>236103.69021161174</v>
          </cell>
          <cell r="Y52">
            <v>243092.35944187545</v>
          </cell>
          <cell r="AB52">
            <v>250287.89328135495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>
        <row r="58">
          <cell r="M58" t="str">
            <v>Обоснование принятого Органом регулирования объема сточных вод</v>
          </cell>
        </row>
        <row r="59">
          <cell r="M59" t="str">
            <v>объем отпуска питьевой воды принят на основании пункта 5 главы II Методических указаний по расчету регулируемых тарифов в сфере водоснабжения и водоотведения, утвержденных Приказом ФСТ России от 27 декабря 2013 года № 1746-э; потери воды приняты на уровне плановой величины, учтенной при регулировании тарифа на 2019 год</v>
          </cell>
        </row>
      </sheetData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Вводные данные систем"/>
      <sheetName val="ЭСО"/>
      <sheetName val="сбыт"/>
      <sheetName val="Ген. не уч. ОРЭМ"/>
      <sheetName val="Свод"/>
      <sheetName val="1.6"/>
      <sheetName val="УрРасч"/>
      <sheetName val="drivers"/>
      <sheetName val="Гр5(о)"/>
      <sheetName val="Main"/>
      <sheetName val="XLR_NoRangeSheet"/>
      <sheetName val="Сводна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П 1"/>
      <sheetName val="П 4"/>
      <sheetName val="regs"/>
      <sheetName val="Справочники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P_HVS_VO">
    <tabColor rgb="FFC00000"/>
    <pageSetUpPr fitToPage="1"/>
  </sheetPr>
  <dimension ref="A1:IN111"/>
  <sheetViews>
    <sheetView tabSelected="1" view="pageBreakPreview" topLeftCell="E3" zoomScale="71" zoomScaleNormal="100" zoomScaleSheetLayoutView="71" workbookViewId="0">
      <selection activeCell="F13" sqref="F13:P13"/>
    </sheetView>
  </sheetViews>
  <sheetFormatPr defaultColWidth="9.140625" defaultRowHeight="12"/>
  <cols>
    <col min="1" max="1" width="13.28515625" style="4" hidden="1" customWidth="1"/>
    <col min="2" max="2" width="0" style="4" hidden="1" customWidth="1"/>
    <col min="3" max="3" width="15.42578125" style="40" hidden="1" customWidth="1"/>
    <col min="4" max="4" width="18.140625" style="41" hidden="1" customWidth="1"/>
    <col min="5" max="5" width="3.140625" style="41" customWidth="1"/>
    <col min="6" max="6" width="7.28515625" style="41" customWidth="1"/>
    <col min="7" max="7" width="41.28515625" style="41" customWidth="1"/>
    <col min="8" max="10" width="9.140625" style="41" customWidth="1"/>
    <col min="11" max="14" width="13.7109375" style="41" customWidth="1"/>
    <col min="15" max="16" width="13.7109375" style="4" customWidth="1"/>
    <col min="17" max="17" width="0" style="4" hidden="1" customWidth="1"/>
    <col min="18" max="18" width="18.28515625" style="4" hidden="1" customWidth="1"/>
    <col min="19" max="19" width="13.28515625" style="4" hidden="1" customWidth="1"/>
    <col min="20" max="21" width="0" style="4" hidden="1" customWidth="1"/>
    <col min="22" max="16384" width="9.140625" style="4"/>
  </cols>
  <sheetData>
    <row r="1" spans="1:248" hidden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pans="1:248" hidden="1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8" ht="5.25" customHeight="1">
      <c r="A3" s="1"/>
      <c r="B3" s="1"/>
      <c r="C3" s="5" t="b">
        <f>AND(REGULATION_METHODS="Метод индексации",REPORT_OWNER="Версия регулятора")</f>
        <v>1</v>
      </c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pans="1:248" hidden="1">
      <c r="A4" s="1"/>
      <c r="B4" s="1"/>
      <c r="C4" s="2"/>
      <c r="D4" s="6" t="b">
        <f>REPORT_OWNER="Версия регулятора"</f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</row>
    <row r="5" spans="1:248" hidden="1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</row>
    <row r="6" spans="1:248" hidden="1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</row>
    <row r="7" spans="1:248" hidden="1">
      <c r="A7" s="1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 hidden="1">
      <c r="A8" s="1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hidden="1">
      <c r="A9" s="1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</row>
    <row r="10" spans="1:248" hidden="1">
      <c r="A10" s="1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</row>
    <row r="11" spans="1:248" hidden="1">
      <c r="A11" s="1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</row>
    <row r="12" spans="1:248" ht="59.25" hidden="1" customHeight="1">
      <c r="A12" s="1"/>
      <c r="B12" s="1"/>
      <c r="C12" s="1"/>
      <c r="D12" s="1"/>
      <c r="E12" s="1"/>
      <c r="F12" s="2"/>
      <c r="G12" s="3"/>
      <c r="H12" s="3"/>
      <c r="I12" s="3"/>
      <c r="J12" s="7"/>
      <c r="K12" s="3"/>
      <c r="L12" s="46" t="s">
        <v>0</v>
      </c>
      <c r="M12" s="46"/>
      <c r="N12" s="46"/>
      <c r="O12" s="46"/>
      <c r="P12" s="46"/>
      <c r="Q12" s="3"/>
      <c r="R12" s="3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</row>
    <row r="13" spans="1:248" ht="39.75" customHeight="1">
      <c r="A13" s="8" t="s">
        <v>1</v>
      </c>
      <c r="B13" s="1"/>
      <c r="C13" s="1"/>
      <c r="D13" s="1"/>
      <c r="E13" s="1"/>
      <c r="F13" s="47" t="str">
        <f>"Производственная программа в сфере "&amp;IF(sphere="Водоснабжение","холодного водоснабжения","водоотведения")&amp;" для  " &amp;[1]Паспорт!F14&amp;" ("&amp;[1]Паспорт!F26&amp;") на "&amp;FIRST_PERIOD_IN_LT&amp;"-"&amp;FIRST_PERIOD_IN_LT+PERIOD_LENGTH-1&amp;" годы "&amp; IF(TYPE="Корректировка","(с учетом корректировки)"," ")</f>
        <v>Производственная программа в сфере водоотведения для  ООО "Кезкоммунсервис" (Кезский муниципальный район) на 2019-2023 годы (с учетом корректировки)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3"/>
      <c r="R13" s="8"/>
      <c r="S13" s="8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</row>
    <row r="14" spans="1:248" ht="57.75" customHeight="1">
      <c r="A14" s="3"/>
      <c r="B14" s="1"/>
      <c r="C14" s="1"/>
      <c r="D14" s="1"/>
      <c r="E14" s="1"/>
      <c r="F14" s="9">
        <v>1</v>
      </c>
      <c r="G14" s="10" t="s">
        <v>2</v>
      </c>
      <c r="H14" s="45" t="str">
        <f>[1]Паспорт!F14</f>
        <v>ООО "Кезкоммунсервис"</v>
      </c>
      <c r="I14" s="44"/>
      <c r="J14" s="44"/>
      <c r="K14" s="44"/>
      <c r="L14" s="44"/>
      <c r="M14" s="44"/>
      <c r="N14" s="44"/>
      <c r="O14" s="44"/>
      <c r="P14" s="44"/>
      <c r="Q14" s="3"/>
      <c r="R14" s="3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</row>
    <row r="15" spans="1:248" ht="28.5" customHeight="1">
      <c r="A15" s="3"/>
      <c r="B15" s="1"/>
      <c r="C15" s="1"/>
      <c r="D15" s="1"/>
      <c r="E15" s="1"/>
      <c r="F15" s="11">
        <v>2</v>
      </c>
      <c r="G15" s="10" t="s">
        <v>3</v>
      </c>
      <c r="H15" s="45" t="str">
        <f>[1]Паспорт!F23</f>
        <v>427580, УР, Кезский район, п. Кез, ул. Ленина, д. 48</v>
      </c>
      <c r="I15" s="44"/>
      <c r="J15" s="44"/>
      <c r="K15" s="44"/>
      <c r="L15" s="44"/>
      <c r="M15" s="44"/>
      <c r="N15" s="44"/>
      <c r="O15" s="44"/>
      <c r="P15" s="44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</row>
    <row r="16" spans="1:248" ht="48.75" customHeight="1">
      <c r="A16" s="3"/>
      <c r="B16" s="1"/>
      <c r="C16" s="1"/>
      <c r="D16" s="1"/>
      <c r="E16" s="1"/>
      <c r="F16" s="11">
        <v>3</v>
      </c>
      <c r="G16" s="10" t="s">
        <v>4</v>
      </c>
      <c r="H16" s="45" t="s">
        <v>5</v>
      </c>
      <c r="I16" s="43"/>
      <c r="J16" s="43"/>
      <c r="K16" s="43"/>
      <c r="L16" s="43"/>
      <c r="M16" s="43"/>
      <c r="N16" s="43"/>
      <c r="O16" s="43"/>
      <c r="P16" s="43"/>
      <c r="Q16" s="3"/>
      <c r="R16" s="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</row>
    <row r="17" spans="1:248" ht="45" customHeight="1">
      <c r="A17" s="3"/>
      <c r="B17" s="1"/>
      <c r="C17" s="1"/>
      <c r="D17" s="1"/>
      <c r="E17" s="1"/>
      <c r="F17" s="11">
        <v>4</v>
      </c>
      <c r="G17" s="10" t="s">
        <v>6</v>
      </c>
      <c r="H17" s="44" t="str">
        <f>FIRST_PERIOD_IN_LT&amp;"-"&amp;FIRST_PERIOD_IN_LT+PERIOD_LENGTH-1</f>
        <v>2019-2023</v>
      </c>
      <c r="I17" s="44"/>
      <c r="J17" s="44"/>
      <c r="K17" s="44"/>
      <c r="L17" s="44"/>
      <c r="M17" s="44"/>
      <c r="N17" s="44"/>
      <c r="O17" s="44"/>
      <c r="P17" s="44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</row>
    <row r="18" spans="1:248" ht="21" customHeight="1">
      <c r="A18" s="3"/>
      <c r="B18" s="1"/>
      <c r="C18" s="1"/>
      <c r="D18" s="1"/>
      <c r="E18" s="1"/>
      <c r="F18" s="11" t="s">
        <v>7</v>
      </c>
      <c r="G18" s="42" t="s">
        <v>8</v>
      </c>
      <c r="H18" s="42"/>
      <c r="I18" s="42"/>
      <c r="J18" s="42"/>
      <c r="K18" s="42"/>
      <c r="L18" s="42"/>
      <c r="M18" s="42"/>
      <c r="N18" s="42"/>
      <c r="O18" s="42"/>
      <c r="P18" s="42"/>
      <c r="Q18" s="3"/>
      <c r="R18" s="3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</row>
    <row r="19" spans="1:248" ht="24" customHeight="1">
      <c r="A19" s="3"/>
      <c r="B19" s="1"/>
      <c r="C19" s="1"/>
      <c r="D19" s="1"/>
      <c r="E19" s="1"/>
      <c r="F19" s="11">
        <f>[1]П.записка!F24</f>
        <v>1</v>
      </c>
      <c r="G19" s="12" t="str">
        <f>[1]П.записка!G24</f>
        <v>Основной вид деятельности</v>
      </c>
      <c r="H19" s="43" t="str">
        <f>[1]П.записка!H24</f>
        <v>68.32 (Управление недвижимым имуществом за вознаграждение или на договорной основе)</v>
      </c>
      <c r="I19" s="43"/>
      <c r="J19" s="43"/>
      <c r="K19" s="43"/>
      <c r="L19" s="43"/>
      <c r="M19" s="43"/>
      <c r="N19" s="43"/>
      <c r="O19" s="43"/>
      <c r="P19" s="4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</row>
    <row r="20" spans="1:248" ht="28.5" customHeight="1">
      <c r="A20" s="3"/>
      <c r="B20" s="1"/>
      <c r="C20" s="1"/>
      <c r="D20" s="1"/>
      <c r="E20" s="1"/>
      <c r="F20" s="11">
        <f>[1]П.записка!F25</f>
        <v>2</v>
      </c>
      <c r="G20" s="13" t="str">
        <f>[1]П.записка!G25</f>
        <v>Право владения объектами водоотведения</v>
      </c>
      <c r="H20" s="44" t="str">
        <f>[1]П.записка!H25</f>
        <v>концессия</v>
      </c>
      <c r="I20" s="44"/>
      <c r="J20" s="44"/>
      <c r="K20" s="44"/>
      <c r="L20" s="44"/>
      <c r="M20" s="44"/>
      <c r="N20" s="44"/>
      <c r="O20" s="44"/>
      <c r="P20" s="4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</row>
    <row r="21" spans="1:248" ht="61.5" customHeight="1">
      <c r="A21" s="3"/>
      <c r="B21" s="1"/>
      <c r="C21" s="1"/>
      <c r="D21" s="1"/>
      <c r="E21" s="1"/>
      <c r="F21" s="11">
        <f>[1]П.записка!F26</f>
        <v>3</v>
      </c>
      <c r="G21" s="13" t="str">
        <f>[1]П.записка!G26</f>
        <v>Реквизиты документов (наименование, № и дата), подтверждающие право владения объектами коммунальной инфраструктуры</v>
      </c>
      <c r="H21" s="44" t="str">
        <f>[1]П.записка!H26</f>
        <v>Концессионное соглашение №1 от 24.03.2014 года</v>
      </c>
      <c r="I21" s="43"/>
      <c r="J21" s="43"/>
      <c r="K21" s="43"/>
      <c r="L21" s="43"/>
      <c r="M21" s="43"/>
      <c r="N21" s="43"/>
      <c r="O21" s="43"/>
      <c r="P21" s="4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</row>
    <row r="22" spans="1:248" ht="18" hidden="1" customHeight="1">
      <c r="A22" s="14" t="b">
        <f>sphere="Водоснабжение"</f>
        <v>0</v>
      </c>
      <c r="B22" s="1"/>
      <c r="C22" s="1"/>
      <c r="D22" s="1"/>
      <c r="E22" s="1"/>
      <c r="F22" s="11">
        <f>[1]П.записка!F27</f>
        <v>4</v>
      </c>
      <c r="G22" s="13" t="str">
        <f>[1]П.записка!G27</f>
        <v>Поверхностные источники водозабора</v>
      </c>
      <c r="H22" s="44">
        <f>[1]П.записка!H27</f>
        <v>0</v>
      </c>
      <c r="I22" s="43"/>
      <c r="J22" s="43"/>
      <c r="K22" s="43"/>
      <c r="L22" s="43"/>
      <c r="M22" s="43"/>
      <c r="N22" s="43"/>
      <c r="O22" s="43"/>
      <c r="P22" s="43"/>
      <c r="Q22" s="3"/>
      <c r="R22" s="14"/>
      <c r="S22" s="14"/>
      <c r="T22" s="3"/>
      <c r="U22" s="3"/>
      <c r="V22" s="3"/>
      <c r="W22" s="3"/>
      <c r="X22" s="3"/>
      <c r="Y22" s="3"/>
      <c r="Z22" s="3"/>
      <c r="AA22" s="3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</row>
    <row r="23" spans="1:248" ht="33" customHeight="1">
      <c r="A23" s="15"/>
      <c r="B23" s="1"/>
      <c r="C23" s="1"/>
      <c r="D23" s="1"/>
      <c r="E23" s="1"/>
      <c r="F23" s="11">
        <f>[1]П.записка!F28</f>
        <v>4</v>
      </c>
      <c r="G23" s="13" t="str">
        <f>[1]П.записка!G28</f>
        <v>Количество канализационных насосных станций, ед.</v>
      </c>
      <c r="H23" s="45">
        <f>[1]П.записка!H28</f>
        <v>1</v>
      </c>
      <c r="I23" s="43"/>
      <c r="J23" s="43"/>
      <c r="K23" s="43"/>
      <c r="L23" s="43"/>
      <c r="M23" s="43"/>
      <c r="N23" s="43"/>
      <c r="O23" s="43"/>
      <c r="P23" s="43"/>
      <c r="Q23" s="3"/>
      <c r="R23" s="15"/>
      <c r="S23" s="15"/>
      <c r="T23" s="3"/>
      <c r="U23" s="3"/>
      <c r="V23" s="3"/>
      <c r="W23" s="3"/>
      <c r="X23" s="3"/>
      <c r="Y23" s="3"/>
      <c r="Z23" s="3"/>
      <c r="AA23" s="3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</row>
    <row r="24" spans="1:248" ht="44.25" customHeight="1">
      <c r="A24" s="15"/>
      <c r="B24" s="1"/>
      <c r="C24" s="1"/>
      <c r="D24" s="1"/>
      <c r="E24" s="1"/>
      <c r="F24" s="11">
        <f>[1]П.записка!F29</f>
        <v>5</v>
      </c>
      <c r="G24" s="13" t="str">
        <f>[1]П.записка!G29</f>
        <v>Суммарная установленная производственная мощность канализационных насосных станций, (куб.м/час.)</v>
      </c>
      <c r="H24" s="45">
        <f>[1]П.записка!H29</f>
        <v>8.1999999999999993</v>
      </c>
      <c r="I24" s="43"/>
      <c r="J24" s="43"/>
      <c r="K24" s="43"/>
      <c r="L24" s="43"/>
      <c r="M24" s="43"/>
      <c r="N24" s="43"/>
      <c r="O24" s="43"/>
      <c r="P24" s="43"/>
      <c r="Q24" s="3"/>
      <c r="R24" s="15"/>
      <c r="S24" s="15"/>
      <c r="T24" s="3"/>
      <c r="U24" s="3"/>
      <c r="V24" s="3"/>
      <c r="W24" s="3"/>
      <c r="X24" s="3"/>
      <c r="Y24" s="3"/>
      <c r="Z24" s="3"/>
      <c r="AA24" s="3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</row>
    <row r="25" spans="1:248" ht="18" hidden="1" customHeight="1">
      <c r="A25" s="14" t="b">
        <f>sphere="Водоснабжение"</f>
        <v>0</v>
      </c>
      <c r="B25" s="1"/>
      <c r="C25" s="1"/>
      <c r="D25" s="1"/>
      <c r="E25" s="1"/>
      <c r="F25" s="11">
        <f>[1]П.записка!F30</f>
        <v>5</v>
      </c>
      <c r="G25" s="13" t="str">
        <f>[1]П.записка!G30</f>
        <v>Количество водонапорных башен, ед.</v>
      </c>
      <c r="H25" s="45">
        <f>[1]П.записка!H30</f>
        <v>0</v>
      </c>
      <c r="I25" s="43"/>
      <c r="J25" s="43"/>
      <c r="K25" s="43"/>
      <c r="L25" s="43"/>
      <c r="M25" s="43"/>
      <c r="N25" s="43"/>
      <c r="O25" s="43"/>
      <c r="P25" s="43"/>
      <c r="Q25" s="3"/>
      <c r="R25" s="14"/>
      <c r="S25" s="14"/>
      <c r="T25" s="3"/>
      <c r="U25" s="3"/>
      <c r="V25" s="3"/>
      <c r="W25" s="3"/>
      <c r="X25" s="3"/>
      <c r="Y25" s="3"/>
      <c r="Z25" s="3"/>
      <c r="AA25" s="3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</row>
    <row r="26" spans="1:248" ht="28.5" customHeight="1">
      <c r="A26" s="3"/>
      <c r="B26" s="1"/>
      <c r="C26" s="1"/>
      <c r="D26" s="1"/>
      <c r="E26" s="1"/>
      <c r="F26" s="11">
        <f>[1]П.записка!F31</f>
        <v>6</v>
      </c>
      <c r="G26" s="16" t="str">
        <f>[1]П.записка!G31</f>
        <v>Протяженность сетей водоотведения, км</v>
      </c>
      <c r="H26" s="48">
        <f>[1]П.записка!H31</f>
        <v>2.1364000000000001</v>
      </c>
      <c r="I26" s="48"/>
      <c r="J26" s="48"/>
      <c r="K26" s="48"/>
      <c r="L26" s="48"/>
      <c r="M26" s="48"/>
      <c r="N26" s="48"/>
      <c r="O26" s="48"/>
      <c r="P26" s="48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</row>
    <row r="27" spans="1:248" ht="47.25" customHeight="1">
      <c r="A27" s="3"/>
      <c r="B27" s="1"/>
      <c r="C27" s="1"/>
      <c r="D27" s="1"/>
      <c r="E27" s="1"/>
      <c r="F27" s="11">
        <f>[1]П.записка!F32</f>
        <v>7</v>
      </c>
      <c r="G27" s="13" t="str">
        <f>[1]П.записка!G32</f>
        <v>Суммарная установленная производственная мощность транспортировки сточных вод, (куб.м/час.)</v>
      </c>
      <c r="H27" s="45">
        <f>[1]П.записка!H32</f>
        <v>8.1999999999999993</v>
      </c>
      <c r="I27" s="43"/>
      <c r="J27" s="43"/>
      <c r="K27" s="43"/>
      <c r="L27" s="43"/>
      <c r="M27" s="43"/>
      <c r="N27" s="43"/>
      <c r="O27" s="43"/>
      <c r="P27" s="4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</row>
    <row r="28" spans="1:248" ht="33" customHeight="1">
      <c r="A28" s="3"/>
      <c r="B28" s="1"/>
      <c r="C28" s="1"/>
      <c r="D28" s="1"/>
      <c r="E28" s="1"/>
      <c r="F28" s="11">
        <f>[1]П.записка!F33</f>
        <v>8</v>
      </c>
      <c r="G28" s="13" t="str">
        <f>[1]П.записка!G33</f>
        <v>Количество канализационных очистных сооружений, ед.</v>
      </c>
      <c r="H28" s="45">
        <f>[1]П.записка!H33</f>
        <v>1</v>
      </c>
      <c r="I28" s="43"/>
      <c r="J28" s="43"/>
      <c r="K28" s="43"/>
      <c r="L28" s="43"/>
      <c r="M28" s="43"/>
      <c r="N28" s="43"/>
      <c r="O28" s="43"/>
      <c r="P28" s="4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</row>
    <row r="29" spans="1:248" ht="60" customHeight="1">
      <c r="A29" s="3"/>
      <c r="B29" s="1"/>
      <c r="C29" s="1"/>
      <c r="D29" s="1"/>
      <c r="E29" s="1"/>
      <c r="F29" s="11">
        <f>[1]П.записка!F34</f>
        <v>9</v>
      </c>
      <c r="G29" s="13" t="str">
        <f>[1]П.записка!G34</f>
        <v>Суммарная установленная производственная мощность канализационных очистных сооружений, (куб.м/час.)</v>
      </c>
      <c r="H29" s="45">
        <f>[1]П.записка!H34</f>
        <v>8.1999999999999993</v>
      </c>
      <c r="I29" s="43"/>
      <c r="J29" s="43"/>
      <c r="K29" s="43"/>
      <c r="L29" s="43"/>
      <c r="M29" s="43"/>
      <c r="N29" s="43"/>
      <c r="O29" s="43"/>
      <c r="P29" s="4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</row>
    <row r="30" spans="1:248" ht="29.25" customHeight="1">
      <c r="A30" s="3"/>
      <c r="B30" s="1"/>
      <c r="C30" s="1"/>
      <c r="D30" s="1"/>
      <c r="E30" s="1"/>
      <c r="F30" s="11">
        <f>[1]П.записка!F35</f>
        <v>10</v>
      </c>
      <c r="G30" s="13" t="str">
        <f>[1]П.записка!G35</f>
        <v>Наименования обслуживаемых населенных пунктов</v>
      </c>
      <c r="H30" s="45" t="str">
        <f>[1]П.записка!H35</f>
        <v>УР, Кезский район, п. Кез</v>
      </c>
      <c r="I30" s="43"/>
      <c r="J30" s="43"/>
      <c r="K30" s="43"/>
      <c r="L30" s="43"/>
      <c r="M30" s="43"/>
      <c r="N30" s="43"/>
      <c r="O30" s="43"/>
      <c r="P30" s="4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</row>
    <row r="31" spans="1:248" ht="24" customHeight="1">
      <c r="A31" s="1"/>
      <c r="B31" s="1"/>
      <c r="C31" s="1"/>
      <c r="D31" s="1"/>
      <c r="E31" s="1"/>
      <c r="F31" s="11" t="s">
        <v>9</v>
      </c>
      <c r="G31" s="42" t="str">
        <f>"Анализ обоснованности расчета объема "&amp;IF(sphere="Водоснабжение","отпуска воды","принятых сточных вод")&amp;" на "&amp;god&amp;" год ("&amp;IF(TYPE="Корректировка","корректируемый","базовый")&amp;" период)"</f>
        <v>Анализ обоснованности расчета объема принятых сточных вод на 2020 год (корректируемый период)</v>
      </c>
      <c r="H31" s="42"/>
      <c r="I31" s="42"/>
      <c r="J31" s="42"/>
      <c r="K31" s="42"/>
      <c r="L31" s="42"/>
      <c r="M31" s="42"/>
      <c r="N31" s="42"/>
      <c r="O31" s="42"/>
      <c r="P31" s="42"/>
      <c r="Q31" s="3"/>
      <c r="R31" s="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</row>
    <row r="32" spans="1:248" ht="51.75" customHeight="1">
      <c r="A32" s="1"/>
      <c r="B32" s="1"/>
      <c r="C32" s="1"/>
      <c r="D32" s="1"/>
      <c r="E32" s="1"/>
      <c r="F32" s="11" t="s">
        <v>10</v>
      </c>
      <c r="G32" s="43" t="s">
        <v>11</v>
      </c>
      <c r="H32" s="43"/>
      <c r="I32" s="43" t="s">
        <v>12</v>
      </c>
      <c r="J32" s="43"/>
      <c r="K32" s="43" t="s">
        <v>13</v>
      </c>
      <c r="L32" s="43"/>
      <c r="M32" s="43" t="str">
        <f>'[1]закл МИ'!M58:P58</f>
        <v>Обоснование принятого Органом регулирования объема сточных вод</v>
      </c>
      <c r="N32" s="43"/>
      <c r="O32" s="43"/>
      <c r="P32" s="43"/>
      <c r="Q32" s="3"/>
      <c r="R32" s="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</row>
    <row r="33" spans="1:248" ht="19.5" hidden="1" customHeight="1">
      <c r="A33" s="1" t="b">
        <f t="shared" ref="A33:A46" si="0">sphere="Водоснабжение"</f>
        <v>0</v>
      </c>
      <c r="B33" s="1"/>
      <c r="C33" s="1"/>
      <c r="D33" s="1"/>
      <c r="E33" s="1"/>
      <c r="F33" s="11" t="s">
        <v>14</v>
      </c>
      <c r="G33" s="49" t="s">
        <v>15</v>
      </c>
      <c r="H33" s="49"/>
      <c r="I33" s="17">
        <f>'[1]Отпуск воды'!W24</f>
        <v>0</v>
      </c>
      <c r="J33" s="18" t="str">
        <f>IF($I$35=0,"-",I33/$I$35)</f>
        <v>-</v>
      </c>
      <c r="K33" s="17">
        <f>'[1]Отпуск воды'!AB24</f>
        <v>0</v>
      </c>
      <c r="L33" s="18" t="str">
        <f>IF($K$35=0,"-",K33/$K$35)</f>
        <v>-</v>
      </c>
      <c r="M33" s="44" t="str">
        <f>'[1]закл МИ'!M59</f>
        <v>объем отпуска питьевой воды принят на основании пункта 5 главы II Методических указаний по расчету регулируемых тарифов в сфере водоснабжения и водоотведения, утвержденных Приказом ФСТ России от 27 декабря 2013 года № 1746-э; потери воды приняты на уровне плановой величины, учтенной при регулировании тарифа на 2019 год</v>
      </c>
      <c r="N33" s="44"/>
      <c r="O33" s="44"/>
      <c r="P33" s="44"/>
      <c r="Q33" s="50" t="s">
        <v>16</v>
      </c>
      <c r="R33" s="5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</row>
    <row r="34" spans="1:248" ht="19.5" hidden="1" customHeight="1">
      <c r="A34" s="1" t="b">
        <f t="shared" si="0"/>
        <v>0</v>
      </c>
      <c r="B34" s="1"/>
      <c r="C34" s="1"/>
      <c r="D34" s="1"/>
      <c r="E34" s="1"/>
      <c r="F34" s="11" t="s">
        <v>17</v>
      </c>
      <c r="G34" s="49" t="s">
        <v>18</v>
      </c>
      <c r="H34" s="49"/>
      <c r="I34" s="17">
        <f>'[1]Отпуск воды'!W25</f>
        <v>0</v>
      </c>
      <c r="J34" s="18" t="str">
        <f>IF($I$35=0,"-",I34/$I$35)</f>
        <v>-</v>
      </c>
      <c r="K34" s="17">
        <f>'[1]Отпуск воды'!AB25</f>
        <v>0</v>
      </c>
      <c r="L34" s="18" t="str">
        <f>IF($K$35=0,"-",K34/$K$35)</f>
        <v>-</v>
      </c>
      <c r="M34" s="44"/>
      <c r="N34" s="44"/>
      <c r="O34" s="44"/>
      <c r="P34" s="44"/>
      <c r="Q34" s="50"/>
      <c r="R34" s="5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</row>
    <row r="35" spans="1:248" ht="19.5" hidden="1" customHeight="1">
      <c r="A35" s="1" t="b">
        <f t="shared" si="0"/>
        <v>0</v>
      </c>
      <c r="B35" s="1"/>
      <c r="C35" s="1"/>
      <c r="D35" s="1"/>
      <c r="E35" s="1"/>
      <c r="F35" s="11" t="s">
        <v>19</v>
      </c>
      <c r="G35" s="49" t="s">
        <v>20</v>
      </c>
      <c r="H35" s="49"/>
      <c r="I35" s="17">
        <f>'[1]Отпуск воды'!W30</f>
        <v>0</v>
      </c>
      <c r="J35" s="18" t="str">
        <f>IF($I$35=0,"-",I35/$I$35)</f>
        <v>-</v>
      </c>
      <c r="K35" s="17">
        <f>'[1]Отпуск воды'!AB30</f>
        <v>0</v>
      </c>
      <c r="L35" s="18" t="str">
        <f>IF($K$35=0,"-",K35/$K$35)</f>
        <v>-</v>
      </c>
      <c r="M35" s="44"/>
      <c r="N35" s="44"/>
      <c r="O35" s="44"/>
      <c r="P35" s="44"/>
      <c r="Q35" s="50"/>
      <c r="R35" s="5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</row>
    <row r="36" spans="1:248" ht="19.5" hidden="1" customHeight="1">
      <c r="A36" s="1" t="b">
        <f t="shared" si="0"/>
        <v>0</v>
      </c>
      <c r="B36" s="1"/>
      <c r="C36" s="1"/>
      <c r="D36" s="1"/>
      <c r="E36" s="1"/>
      <c r="F36" s="11" t="s">
        <v>21</v>
      </c>
      <c r="G36" s="49" t="s">
        <v>22</v>
      </c>
      <c r="H36" s="49"/>
      <c r="I36" s="17">
        <f>'[1]Отпуск воды'!W31</f>
        <v>0</v>
      </c>
      <c r="J36" s="18" t="str">
        <f>IF($I$35=0,"-",I36/$I$35)</f>
        <v>-</v>
      </c>
      <c r="K36" s="17">
        <f>'[1]Отпуск воды'!AB31</f>
        <v>0</v>
      </c>
      <c r="L36" s="18" t="str">
        <f>IF($K$35=0,"-",K36/$K$35)</f>
        <v>-</v>
      </c>
      <c r="M36" s="44"/>
      <c r="N36" s="44"/>
      <c r="O36" s="44"/>
      <c r="P36" s="44"/>
      <c r="Q36" s="50"/>
      <c r="R36" s="5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</row>
    <row r="37" spans="1:248" ht="46.5" hidden="1" customHeight="1">
      <c r="A37" s="1" t="b">
        <f t="shared" si="0"/>
        <v>0</v>
      </c>
      <c r="B37" s="1"/>
      <c r="C37" s="1"/>
      <c r="D37" s="1"/>
      <c r="E37" s="1"/>
      <c r="F37" s="11" t="s">
        <v>23</v>
      </c>
      <c r="G37" s="49" t="s">
        <v>24</v>
      </c>
      <c r="H37" s="49"/>
      <c r="I37" s="17">
        <f>'[1]Отпуск воды'!W33</f>
        <v>0</v>
      </c>
      <c r="J37" s="18" t="str">
        <f>IF($I$35=0,"-",I37/$I$35)</f>
        <v>-</v>
      </c>
      <c r="K37" s="17">
        <f>'[1]Отпуск воды'!AB33</f>
        <v>0</v>
      </c>
      <c r="L37" s="18" t="str">
        <f>IF($K$35=0,"-",K37/$K$35)</f>
        <v>-</v>
      </c>
      <c r="M37" s="44"/>
      <c r="N37" s="44"/>
      <c r="O37" s="44"/>
      <c r="P37" s="44"/>
      <c r="Q37" s="50"/>
      <c r="R37" s="5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</row>
    <row r="38" spans="1:248" ht="18" hidden="1" customHeight="1">
      <c r="A38" s="1" t="b">
        <f t="shared" si="0"/>
        <v>0</v>
      </c>
      <c r="B38" s="1"/>
      <c r="C38" s="1"/>
      <c r="D38" s="1"/>
      <c r="E38" s="1"/>
      <c r="F38" s="11" t="s">
        <v>25</v>
      </c>
      <c r="G38" s="49" t="s">
        <v>26</v>
      </c>
      <c r="H38" s="49"/>
      <c r="I38" s="17">
        <f>'[1]Отпуск воды'!W36</f>
        <v>0</v>
      </c>
      <c r="J38" s="18" t="str">
        <f>IF($I$38=0,"-",I38/$I$38)</f>
        <v>-</v>
      </c>
      <c r="K38" s="17">
        <f>'[1]Отпуск воды'!AB36</f>
        <v>0</v>
      </c>
      <c r="L38" s="18" t="str">
        <f>IF($K$38=0,"-",K38/$K$38)</f>
        <v>-</v>
      </c>
      <c r="M38" s="44"/>
      <c r="N38" s="44"/>
      <c r="O38" s="44"/>
      <c r="P38" s="44"/>
      <c r="Q38" s="50"/>
      <c r="R38" s="5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</row>
    <row r="39" spans="1:248" ht="30" hidden="1" customHeight="1">
      <c r="A39" s="1" t="b">
        <f t="shared" si="0"/>
        <v>0</v>
      </c>
      <c r="B39" s="1"/>
      <c r="C39" s="1"/>
      <c r="D39" s="1"/>
      <c r="E39" s="1"/>
      <c r="F39" s="11" t="s">
        <v>27</v>
      </c>
      <c r="G39" s="49" t="s">
        <v>28</v>
      </c>
      <c r="H39" s="49"/>
      <c r="I39" s="17">
        <f>'[1]Отпуск воды'!W37</f>
        <v>0</v>
      </c>
      <c r="J39" s="18" t="str">
        <f>IF($I$38=0,"-",I39/$I$38)</f>
        <v>-</v>
      </c>
      <c r="K39" s="17">
        <f>'[1]Отпуск воды'!AB37</f>
        <v>0</v>
      </c>
      <c r="L39" s="18" t="str">
        <f>IF($K$38=0,"-",K39/$K$38)</f>
        <v>-</v>
      </c>
      <c r="M39" s="44"/>
      <c r="N39" s="44"/>
      <c r="O39" s="44"/>
      <c r="P39" s="44"/>
      <c r="Q39" s="50"/>
      <c r="R39" s="5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</row>
    <row r="40" spans="1:248" ht="18" hidden="1" customHeight="1">
      <c r="A40" s="1" t="b">
        <f t="shared" si="0"/>
        <v>0</v>
      </c>
      <c r="B40" s="1"/>
      <c r="C40" s="1"/>
      <c r="D40" s="1"/>
      <c r="E40" s="1"/>
      <c r="F40" s="11" t="s">
        <v>29</v>
      </c>
      <c r="G40" s="49" t="s">
        <v>30</v>
      </c>
      <c r="H40" s="49"/>
      <c r="I40" s="17">
        <f>'[1]Отпуск воды'!W42</f>
        <v>0</v>
      </c>
      <c r="J40" s="18" t="str">
        <f>IF($I$38=0,"-",I40/$I$38)</f>
        <v>-</v>
      </c>
      <c r="K40" s="17">
        <f>'[1]Отпуск воды'!AB42</f>
        <v>0</v>
      </c>
      <c r="L40" s="18" t="str">
        <f>IF($K$38=0,"-",K40/$K$38)</f>
        <v>-</v>
      </c>
      <c r="M40" s="44"/>
      <c r="N40" s="44"/>
      <c r="O40" s="44"/>
      <c r="P40" s="44"/>
      <c r="Q40" s="50"/>
      <c r="R40" s="5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</row>
    <row r="41" spans="1:248" ht="18" hidden="1" customHeight="1">
      <c r="A41" s="1" t="b">
        <f t="shared" si="0"/>
        <v>0</v>
      </c>
      <c r="B41" s="1"/>
      <c r="C41" s="1"/>
      <c r="D41" s="1"/>
      <c r="E41" s="1"/>
      <c r="F41" s="11" t="s">
        <v>31</v>
      </c>
      <c r="G41" s="49" t="s">
        <v>32</v>
      </c>
      <c r="H41" s="49"/>
      <c r="I41" s="17">
        <f>'[1]Отпуск воды'!W43</f>
        <v>0</v>
      </c>
      <c r="J41" s="18" t="str">
        <f t="shared" ref="J41:J46" si="1">IF($I$40=0,"-",I41/$I$40)</f>
        <v>-</v>
      </c>
      <c r="K41" s="17">
        <f>'[1]Отпуск воды'!AB43</f>
        <v>0</v>
      </c>
      <c r="L41" s="18" t="str">
        <f t="shared" ref="L41:L46" si="2">IF($K$40=0,"-",K41/$K$40)</f>
        <v>-</v>
      </c>
      <c r="M41" s="44"/>
      <c r="N41" s="44"/>
      <c r="O41" s="44"/>
      <c r="P41" s="44"/>
      <c r="Q41" s="50"/>
      <c r="R41" s="5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</row>
    <row r="42" spans="1:248" ht="30" hidden="1" customHeight="1">
      <c r="A42" s="1" t="b">
        <f t="shared" si="0"/>
        <v>0</v>
      </c>
      <c r="B42" s="1"/>
      <c r="C42" s="1"/>
      <c r="D42" s="1"/>
      <c r="E42" s="1"/>
      <c r="F42" s="11" t="s">
        <v>33</v>
      </c>
      <c r="G42" s="49" t="s">
        <v>34</v>
      </c>
      <c r="H42" s="49"/>
      <c r="I42" s="17">
        <f>'[1]Отпуск воды'!W44</f>
        <v>0</v>
      </c>
      <c r="J42" s="18" t="str">
        <f t="shared" si="1"/>
        <v>-</v>
      </c>
      <c r="K42" s="17">
        <f>'[1]Отпуск воды'!AB44</f>
        <v>0</v>
      </c>
      <c r="L42" s="18" t="str">
        <f t="shared" si="2"/>
        <v>-</v>
      </c>
      <c r="M42" s="44"/>
      <c r="N42" s="44"/>
      <c r="O42" s="44"/>
      <c r="P42" s="44"/>
      <c r="Q42" s="50"/>
      <c r="R42" s="5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</row>
    <row r="43" spans="1:248" ht="18" hidden="1" customHeight="1">
      <c r="A43" s="1" t="b">
        <f t="shared" si="0"/>
        <v>0</v>
      </c>
      <c r="B43" s="1"/>
      <c r="C43" s="1"/>
      <c r="D43" s="1"/>
      <c r="E43" s="1"/>
      <c r="F43" s="11" t="s">
        <v>35</v>
      </c>
      <c r="G43" s="49" t="s">
        <v>36</v>
      </c>
      <c r="H43" s="49"/>
      <c r="I43" s="17">
        <f>'[1]Отпуск воды'!W45</f>
        <v>0</v>
      </c>
      <c r="J43" s="18" t="str">
        <f t="shared" si="1"/>
        <v>-</v>
      </c>
      <c r="K43" s="17">
        <f>'[1]Отпуск воды'!AB45</f>
        <v>0</v>
      </c>
      <c r="L43" s="18" t="str">
        <f t="shared" si="2"/>
        <v>-</v>
      </c>
      <c r="M43" s="44"/>
      <c r="N43" s="44"/>
      <c r="O43" s="44"/>
      <c r="P43" s="44"/>
      <c r="Q43" s="50" t="s">
        <v>37</v>
      </c>
      <c r="R43" s="5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</row>
    <row r="44" spans="1:248" ht="18" hidden="1" customHeight="1">
      <c r="A44" s="1" t="b">
        <f t="shared" si="0"/>
        <v>0</v>
      </c>
      <c r="B44" s="1"/>
      <c r="C44" s="1"/>
      <c r="D44" s="1"/>
      <c r="E44" s="1"/>
      <c r="F44" s="11" t="s">
        <v>38</v>
      </c>
      <c r="G44" s="49" t="s">
        <v>39</v>
      </c>
      <c r="H44" s="49"/>
      <c r="I44" s="17">
        <f>'[1]Отпуск воды'!W46</f>
        <v>0</v>
      </c>
      <c r="J44" s="18" t="str">
        <f t="shared" si="1"/>
        <v>-</v>
      </c>
      <c r="K44" s="17">
        <f>'[1]Отпуск воды'!AB46</f>
        <v>0</v>
      </c>
      <c r="L44" s="18" t="str">
        <f t="shared" si="2"/>
        <v>-</v>
      </c>
      <c r="M44" s="44"/>
      <c r="N44" s="44"/>
      <c r="O44" s="44"/>
      <c r="P44" s="44"/>
      <c r="Q44" s="50"/>
      <c r="R44" s="5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</row>
    <row r="45" spans="1:248" ht="18" hidden="1" customHeight="1">
      <c r="A45" s="1" t="b">
        <f t="shared" si="0"/>
        <v>0</v>
      </c>
      <c r="B45" s="1"/>
      <c r="C45" s="1"/>
      <c r="D45" s="1"/>
      <c r="E45" s="1"/>
      <c r="F45" s="11" t="s">
        <v>40</v>
      </c>
      <c r="G45" s="49" t="s">
        <v>41</v>
      </c>
      <c r="H45" s="49"/>
      <c r="I45" s="17">
        <f>'[1]Отпуск воды'!W50</f>
        <v>0</v>
      </c>
      <c r="J45" s="18" t="str">
        <f t="shared" si="1"/>
        <v>-</v>
      </c>
      <c r="K45" s="17">
        <f>'[1]Отпуск воды'!AB50</f>
        <v>0</v>
      </c>
      <c r="L45" s="18" t="str">
        <f t="shared" si="2"/>
        <v>-</v>
      </c>
      <c r="M45" s="44"/>
      <c r="N45" s="44"/>
      <c r="O45" s="44"/>
      <c r="P45" s="44"/>
      <c r="Q45" s="50"/>
      <c r="R45" s="5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</row>
    <row r="46" spans="1:248" ht="18" hidden="1" customHeight="1">
      <c r="A46" s="1" t="b">
        <f t="shared" si="0"/>
        <v>0</v>
      </c>
      <c r="B46" s="1"/>
      <c r="C46" s="1"/>
      <c r="D46" s="1"/>
      <c r="E46" s="1"/>
      <c r="F46" s="11" t="s">
        <v>42</v>
      </c>
      <c r="G46" s="49" t="s">
        <v>43</v>
      </c>
      <c r="H46" s="49"/>
      <c r="I46" s="17">
        <f>'[1]Отпуск воды'!W52</f>
        <v>0</v>
      </c>
      <c r="J46" s="18" t="str">
        <f t="shared" si="1"/>
        <v>-</v>
      </c>
      <c r="K46" s="17">
        <f>'[1]Отпуск воды'!AB52</f>
        <v>0</v>
      </c>
      <c r="L46" s="18" t="str">
        <f t="shared" si="2"/>
        <v>-</v>
      </c>
      <c r="M46" s="44"/>
      <c r="N46" s="44"/>
      <c r="O46" s="44"/>
      <c r="P46" s="44"/>
      <c r="Q46" s="50"/>
      <c r="R46" s="5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</row>
    <row r="47" spans="1:248" s="25" customFormat="1" ht="18" customHeight="1">
      <c r="A47" s="19" t="b">
        <f t="shared" ref="A47:A60" si="3">sphere="Водоотведение"</f>
        <v>1</v>
      </c>
      <c r="B47" s="20"/>
      <c r="C47" s="20"/>
      <c r="D47" s="20"/>
      <c r="E47" s="20"/>
      <c r="F47" s="21" t="s">
        <v>14</v>
      </c>
      <c r="G47" s="52" t="s">
        <v>44</v>
      </c>
      <c r="H47" s="52"/>
      <c r="I47" s="22">
        <f>'[1]Объемы ВО'!V24</f>
        <v>21</v>
      </c>
      <c r="J47" s="23">
        <f t="shared" ref="J47:J55" si="4">IF($I$47=0,0,I47/$I$47)</f>
        <v>1</v>
      </c>
      <c r="K47" s="22">
        <f>'[1]Объемы ВО'!AB24</f>
        <v>15.86</v>
      </c>
      <c r="L47" s="23">
        <f>IF($K$47=0,0,K47/$K$47)</f>
        <v>1</v>
      </c>
      <c r="M47" s="54" t="s">
        <v>45</v>
      </c>
      <c r="N47" s="54"/>
      <c r="O47" s="54"/>
      <c r="P47" s="54"/>
      <c r="Q47" s="24"/>
      <c r="R47" s="24"/>
      <c r="S47" s="19"/>
      <c r="T47" s="24"/>
      <c r="U47" s="24"/>
      <c r="V47" s="24"/>
      <c r="W47" s="24"/>
      <c r="X47" s="24"/>
      <c r="Y47" s="24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</row>
    <row r="48" spans="1:248" s="25" customFormat="1" ht="18" customHeight="1">
      <c r="A48" s="19" t="b">
        <f t="shared" si="3"/>
        <v>1</v>
      </c>
      <c r="B48" s="20"/>
      <c r="C48" s="20"/>
      <c r="D48" s="20"/>
      <c r="E48" s="20"/>
      <c r="F48" s="21" t="s">
        <v>46</v>
      </c>
      <c r="G48" s="52" t="s">
        <v>47</v>
      </c>
      <c r="H48" s="52"/>
      <c r="I48" s="22">
        <f>'[1]Объемы ВО'!V25</f>
        <v>0</v>
      </c>
      <c r="J48" s="23">
        <f t="shared" si="4"/>
        <v>0</v>
      </c>
      <c r="K48" s="22">
        <f>'[1]Объемы ВО'!AB25</f>
        <v>0</v>
      </c>
      <c r="L48" s="23">
        <f t="shared" ref="L48:L55" si="5">IF($K$47=0,0,K48/$K$47)</f>
        <v>0</v>
      </c>
      <c r="M48" s="54"/>
      <c r="N48" s="54"/>
      <c r="O48" s="54"/>
      <c r="P48" s="54"/>
      <c r="Q48" s="24"/>
      <c r="R48" s="24"/>
      <c r="S48" s="19"/>
      <c r="T48" s="24"/>
      <c r="U48" s="24"/>
      <c r="V48" s="24"/>
      <c r="W48" s="24"/>
      <c r="X48" s="24"/>
      <c r="Y48" s="24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</row>
    <row r="49" spans="1:248" s="25" customFormat="1" ht="18" customHeight="1">
      <c r="A49" s="19" t="b">
        <f t="shared" si="3"/>
        <v>1</v>
      </c>
      <c r="B49" s="20"/>
      <c r="C49" s="20"/>
      <c r="D49" s="20"/>
      <c r="E49" s="20"/>
      <c r="F49" s="21" t="s">
        <v>48</v>
      </c>
      <c r="G49" s="52" t="s">
        <v>49</v>
      </c>
      <c r="H49" s="52"/>
      <c r="I49" s="22">
        <f>'[1]Объемы ВО'!V26</f>
        <v>21</v>
      </c>
      <c r="J49" s="23">
        <f t="shared" si="4"/>
        <v>1</v>
      </c>
      <c r="K49" s="22">
        <f>'[1]Объемы ВО'!AB26</f>
        <v>15.86</v>
      </c>
      <c r="L49" s="23">
        <f t="shared" si="5"/>
        <v>1</v>
      </c>
      <c r="M49" s="54"/>
      <c r="N49" s="54"/>
      <c r="O49" s="54"/>
      <c r="P49" s="54"/>
      <c r="Q49" s="24"/>
      <c r="R49" s="24"/>
      <c r="S49" s="19"/>
      <c r="T49" s="24"/>
      <c r="U49" s="24"/>
      <c r="V49" s="24"/>
      <c r="W49" s="24"/>
      <c r="X49" s="24"/>
      <c r="Y49" s="24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</row>
    <row r="50" spans="1:248" s="25" customFormat="1" ht="18" customHeight="1">
      <c r="A50" s="19" t="b">
        <f t="shared" si="3"/>
        <v>1</v>
      </c>
      <c r="B50" s="20"/>
      <c r="C50" s="20"/>
      <c r="D50" s="20"/>
      <c r="E50" s="20"/>
      <c r="F50" s="21" t="s">
        <v>50</v>
      </c>
      <c r="G50" s="52" t="s">
        <v>51</v>
      </c>
      <c r="H50" s="52"/>
      <c r="I50" s="22">
        <f>'[1]Объемы ВО'!V27</f>
        <v>21</v>
      </c>
      <c r="J50" s="23">
        <f t="shared" si="4"/>
        <v>1</v>
      </c>
      <c r="K50" s="22">
        <f>'[1]Объемы ВО'!AB27</f>
        <v>15.86</v>
      </c>
      <c r="L50" s="23">
        <f t="shared" si="5"/>
        <v>1</v>
      </c>
      <c r="M50" s="54"/>
      <c r="N50" s="54"/>
      <c r="O50" s="54"/>
      <c r="P50" s="54"/>
      <c r="Q50" s="24"/>
      <c r="R50" s="24"/>
      <c r="S50" s="19"/>
      <c r="T50" s="24"/>
      <c r="U50" s="24"/>
      <c r="V50" s="24"/>
      <c r="W50" s="24"/>
      <c r="X50" s="24"/>
      <c r="Y50" s="24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</row>
    <row r="51" spans="1:248" s="25" customFormat="1" ht="18" customHeight="1">
      <c r="A51" s="19" t="b">
        <f t="shared" si="3"/>
        <v>1</v>
      </c>
      <c r="B51" s="20"/>
      <c r="C51" s="20"/>
      <c r="D51" s="20"/>
      <c r="E51" s="20"/>
      <c r="F51" s="21"/>
      <c r="G51" s="52" t="s">
        <v>52</v>
      </c>
      <c r="H51" s="52"/>
      <c r="I51" s="22">
        <f>'[1]Объемы ВО'!V28</f>
        <v>10</v>
      </c>
      <c r="J51" s="23">
        <f t="shared" si="4"/>
        <v>0.47619047619047616</v>
      </c>
      <c r="K51" s="22">
        <f>'[1]Объемы ВО'!AB28</f>
        <v>7.29</v>
      </c>
      <c r="L51" s="23">
        <f t="shared" si="5"/>
        <v>0.45964691046658263</v>
      </c>
      <c r="M51" s="54"/>
      <c r="N51" s="54"/>
      <c r="O51" s="54"/>
      <c r="P51" s="54"/>
      <c r="Q51" s="24"/>
      <c r="R51" s="24"/>
      <c r="S51" s="19"/>
      <c r="T51" s="24"/>
      <c r="U51" s="24"/>
      <c r="V51" s="24"/>
      <c r="W51" s="24"/>
      <c r="X51" s="24"/>
      <c r="Y51" s="24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</row>
    <row r="52" spans="1:248" s="25" customFormat="1" ht="22.5" customHeight="1">
      <c r="A52" s="19" t="b">
        <f t="shared" si="3"/>
        <v>1</v>
      </c>
      <c r="B52" s="20"/>
      <c r="C52" s="20"/>
      <c r="D52" s="20"/>
      <c r="E52" s="20"/>
      <c r="F52" s="21"/>
      <c r="G52" s="52" t="s">
        <v>53</v>
      </c>
      <c r="H52" s="52"/>
      <c r="I52" s="22">
        <f>'[1]Объемы ВО'!V29</f>
        <v>11</v>
      </c>
      <c r="J52" s="23">
        <f t="shared" si="4"/>
        <v>0.52380952380952384</v>
      </c>
      <c r="K52" s="22">
        <f>'[1]Объемы ВО'!AB29</f>
        <v>8.57</v>
      </c>
      <c r="L52" s="23">
        <f t="shared" si="5"/>
        <v>0.54035308953341743</v>
      </c>
      <c r="M52" s="54"/>
      <c r="N52" s="54"/>
      <c r="O52" s="54"/>
      <c r="P52" s="54"/>
      <c r="Q52" s="24"/>
      <c r="R52" s="24"/>
      <c r="S52" s="19"/>
      <c r="T52" s="24"/>
      <c r="U52" s="24"/>
      <c r="V52" s="24"/>
      <c r="W52" s="24"/>
      <c r="X52" s="24"/>
      <c r="Y52" s="24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</row>
    <row r="53" spans="1:248" s="25" customFormat="1" ht="18" customHeight="1">
      <c r="A53" s="19" t="b">
        <f t="shared" si="3"/>
        <v>1</v>
      </c>
      <c r="B53" s="20"/>
      <c r="C53" s="20"/>
      <c r="D53" s="20"/>
      <c r="E53" s="20"/>
      <c r="F53" s="21"/>
      <c r="G53" s="52" t="s">
        <v>54</v>
      </c>
      <c r="H53" s="52"/>
      <c r="I53" s="22">
        <f>'[1]Объемы ВО'!V30</f>
        <v>0</v>
      </c>
      <c r="J53" s="23">
        <f t="shared" si="4"/>
        <v>0</v>
      </c>
      <c r="K53" s="22">
        <f>'[1]Объемы ВО'!AB30</f>
        <v>0</v>
      </c>
      <c r="L53" s="23">
        <f t="shared" si="5"/>
        <v>0</v>
      </c>
      <c r="M53" s="54"/>
      <c r="N53" s="54"/>
      <c r="O53" s="54"/>
      <c r="P53" s="54"/>
      <c r="Q53" s="24"/>
      <c r="R53" s="24"/>
      <c r="S53" s="19"/>
      <c r="T53" s="24"/>
      <c r="U53" s="24"/>
      <c r="V53" s="24"/>
      <c r="W53" s="24"/>
      <c r="X53" s="24"/>
      <c r="Y53" s="24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</row>
    <row r="54" spans="1:248" s="25" customFormat="1" ht="18" customHeight="1">
      <c r="A54" s="19" t="b">
        <f t="shared" si="3"/>
        <v>1</v>
      </c>
      <c r="B54" s="20"/>
      <c r="C54" s="20"/>
      <c r="D54" s="20"/>
      <c r="E54" s="20"/>
      <c r="F54" s="21" t="s">
        <v>55</v>
      </c>
      <c r="G54" s="52" t="s">
        <v>56</v>
      </c>
      <c r="H54" s="52"/>
      <c r="I54" s="22">
        <f>'[1]Объемы ВО'!V31</f>
        <v>0</v>
      </c>
      <c r="J54" s="23">
        <f t="shared" si="4"/>
        <v>0</v>
      </c>
      <c r="K54" s="22">
        <f>'[1]Объемы ВО'!AB31</f>
        <v>0</v>
      </c>
      <c r="L54" s="23">
        <f t="shared" si="5"/>
        <v>0</v>
      </c>
      <c r="M54" s="54"/>
      <c r="N54" s="54"/>
      <c r="O54" s="54"/>
      <c r="P54" s="54"/>
      <c r="Q54" s="24"/>
      <c r="R54" s="24"/>
      <c r="S54" s="19"/>
      <c r="T54" s="24"/>
      <c r="U54" s="24"/>
      <c r="V54" s="24"/>
      <c r="W54" s="24"/>
      <c r="X54" s="24"/>
      <c r="Y54" s="24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</row>
    <row r="55" spans="1:248" s="25" customFormat="1" ht="18" customHeight="1">
      <c r="A55" s="19" t="b">
        <f t="shared" si="3"/>
        <v>1</v>
      </c>
      <c r="B55" s="20"/>
      <c r="C55" s="20"/>
      <c r="D55" s="20"/>
      <c r="E55" s="20"/>
      <c r="F55" s="21" t="s">
        <v>57</v>
      </c>
      <c r="G55" s="52" t="s">
        <v>58</v>
      </c>
      <c r="H55" s="52"/>
      <c r="I55" s="22">
        <f>'[1]Объемы ВО'!V34</f>
        <v>0</v>
      </c>
      <c r="J55" s="23">
        <f t="shared" si="4"/>
        <v>0</v>
      </c>
      <c r="K55" s="22">
        <f>'[1]Объемы ВО'!AB34</f>
        <v>0</v>
      </c>
      <c r="L55" s="23">
        <f t="shared" si="5"/>
        <v>0</v>
      </c>
      <c r="M55" s="54"/>
      <c r="N55" s="54"/>
      <c r="O55" s="54"/>
      <c r="P55" s="54"/>
      <c r="Q55" s="24"/>
      <c r="R55" s="24"/>
      <c r="S55" s="19"/>
      <c r="T55" s="24"/>
      <c r="U55" s="24"/>
      <c r="V55" s="24"/>
      <c r="W55" s="24"/>
      <c r="X55" s="24"/>
      <c r="Y55" s="24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</row>
    <row r="56" spans="1:248" s="25" customFormat="1" ht="18" customHeight="1">
      <c r="A56" s="19" t="b">
        <f t="shared" si="3"/>
        <v>1</v>
      </c>
      <c r="B56" s="20"/>
      <c r="C56" s="20"/>
      <c r="D56" s="20"/>
      <c r="E56" s="20"/>
      <c r="F56" s="21" t="s">
        <v>17</v>
      </c>
      <c r="G56" s="52" t="s">
        <v>59</v>
      </c>
      <c r="H56" s="52"/>
      <c r="I56" s="22">
        <f>'[1]Объемы ВО'!V35</f>
        <v>21</v>
      </c>
      <c r="J56" s="23">
        <f>IF($I$56=0,0,I56/$I$56)</f>
        <v>1</v>
      </c>
      <c r="K56" s="22">
        <f>'[1]Объемы ВО'!AB35</f>
        <v>15.86</v>
      </c>
      <c r="L56" s="23">
        <f>IF($K$56=0,0,K56/$K$56)</f>
        <v>1</v>
      </c>
      <c r="M56" s="54"/>
      <c r="N56" s="54"/>
      <c r="O56" s="54"/>
      <c r="P56" s="54"/>
      <c r="Q56" s="24"/>
      <c r="R56" s="24"/>
      <c r="S56" s="19"/>
      <c r="T56" s="24"/>
      <c r="U56" s="24"/>
      <c r="V56" s="24"/>
      <c r="W56" s="24"/>
      <c r="X56" s="24"/>
      <c r="Y56" s="24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</row>
    <row r="57" spans="1:248" s="25" customFormat="1" ht="18" customHeight="1">
      <c r="A57" s="19" t="b">
        <f t="shared" si="3"/>
        <v>1</v>
      </c>
      <c r="B57" s="20"/>
      <c r="C57" s="20"/>
      <c r="D57" s="20"/>
      <c r="E57" s="20"/>
      <c r="F57" s="21" t="s">
        <v>60</v>
      </c>
      <c r="G57" s="52" t="s">
        <v>61</v>
      </c>
      <c r="H57" s="52"/>
      <c r="I57" s="22">
        <f>'[1]Объемы ВО'!V36</f>
        <v>21</v>
      </c>
      <c r="J57" s="23">
        <f>IF($I$56=0,0,I57/$I$56)</f>
        <v>1</v>
      </c>
      <c r="K57" s="22">
        <f>'[1]Объемы ВО'!AB36</f>
        <v>15.86</v>
      </c>
      <c r="L57" s="23">
        <f>IF($K$56=0,0,K57/$K$56)</f>
        <v>1</v>
      </c>
      <c r="M57" s="54"/>
      <c r="N57" s="54"/>
      <c r="O57" s="54"/>
      <c r="P57" s="54"/>
      <c r="Q57" s="24"/>
      <c r="R57" s="24"/>
      <c r="S57" s="19"/>
      <c r="T57" s="24"/>
      <c r="U57" s="24"/>
      <c r="V57" s="24"/>
      <c r="W57" s="24"/>
      <c r="X57" s="24"/>
      <c r="Y57" s="24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</row>
    <row r="58" spans="1:248" s="25" customFormat="1" ht="18" customHeight="1">
      <c r="A58" s="19" t="b">
        <f t="shared" si="3"/>
        <v>1</v>
      </c>
      <c r="B58" s="20"/>
      <c r="C58" s="20"/>
      <c r="D58" s="20"/>
      <c r="E58" s="20"/>
      <c r="F58" s="21" t="s">
        <v>62</v>
      </c>
      <c r="G58" s="52" t="s">
        <v>63</v>
      </c>
      <c r="H58" s="52"/>
      <c r="I58" s="22">
        <f>'[1]Объемы ВО'!V37</f>
        <v>0</v>
      </c>
      <c r="J58" s="23">
        <f>IF($I$56=0,0,I58/$I$56)</f>
        <v>0</v>
      </c>
      <c r="K58" s="22">
        <f>'[1]Объемы ВО'!AB37</f>
        <v>0</v>
      </c>
      <c r="L58" s="23">
        <f>IF($K$56=0,0,K58/$K$56)</f>
        <v>0</v>
      </c>
      <c r="M58" s="54"/>
      <c r="N58" s="54"/>
      <c r="O58" s="54"/>
      <c r="P58" s="54"/>
      <c r="Q58" s="24"/>
      <c r="R58" s="24"/>
      <c r="S58" s="19"/>
      <c r="T58" s="24"/>
      <c r="U58" s="24"/>
      <c r="V58" s="24"/>
      <c r="W58" s="24"/>
      <c r="X58" s="24"/>
      <c r="Y58" s="24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</row>
    <row r="59" spans="1:248" s="25" customFormat="1" ht="18" customHeight="1">
      <c r="A59" s="19" t="b">
        <f t="shared" si="3"/>
        <v>1</v>
      </c>
      <c r="B59" s="20"/>
      <c r="C59" s="20"/>
      <c r="D59" s="20"/>
      <c r="E59" s="20"/>
      <c r="F59" s="21" t="s">
        <v>19</v>
      </c>
      <c r="G59" s="52" t="s">
        <v>64</v>
      </c>
      <c r="H59" s="52"/>
      <c r="I59" s="22">
        <f>'[1]Объемы ВО'!V40</f>
        <v>21</v>
      </c>
      <c r="J59" s="23">
        <f>IF($I$47=0,0,I59/$I$47)</f>
        <v>1</v>
      </c>
      <c r="K59" s="22">
        <f>'[1]Объемы ВО'!AB40</f>
        <v>15.86</v>
      </c>
      <c r="L59" s="23">
        <f>IF($K$47=0,0,K59/$K$47)</f>
        <v>1</v>
      </c>
      <c r="M59" s="54"/>
      <c r="N59" s="54"/>
      <c r="O59" s="54"/>
      <c r="P59" s="54"/>
      <c r="Q59" s="24"/>
      <c r="R59" s="24"/>
      <c r="S59" s="19"/>
      <c r="T59" s="24"/>
      <c r="U59" s="24"/>
      <c r="V59" s="24"/>
      <c r="W59" s="24"/>
      <c r="X59" s="24"/>
      <c r="Y59" s="24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</row>
    <row r="60" spans="1:248" s="25" customFormat="1" ht="18" customHeight="1">
      <c r="A60" s="19" t="b">
        <f t="shared" si="3"/>
        <v>1</v>
      </c>
      <c r="B60" s="20"/>
      <c r="C60" s="20"/>
      <c r="D60" s="20"/>
      <c r="E60" s="20"/>
      <c r="F60" s="21" t="s">
        <v>21</v>
      </c>
      <c r="G60" s="52" t="s">
        <v>65</v>
      </c>
      <c r="H60" s="52"/>
      <c r="I60" s="22">
        <f>'[1]Объемы ВО'!V41</f>
        <v>0</v>
      </c>
      <c r="J60" s="23">
        <f>IF($I$47=0,0,I60/$I$47)</f>
        <v>0</v>
      </c>
      <c r="K60" s="22">
        <f>'[1]Объемы ВО'!AB41</f>
        <v>0</v>
      </c>
      <c r="L60" s="23">
        <f>IF($K$47=0,0,K60/$K$47)</f>
        <v>0</v>
      </c>
      <c r="M60" s="54"/>
      <c r="N60" s="54"/>
      <c r="O60" s="54"/>
      <c r="P60" s="54"/>
      <c r="Q60" s="24"/>
      <c r="R60" s="24"/>
      <c r="S60" s="19"/>
      <c r="T60" s="24"/>
      <c r="U60" s="24"/>
      <c r="V60" s="24"/>
      <c r="W60" s="24"/>
      <c r="X60" s="24"/>
      <c r="Y60" s="24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</row>
    <row r="61" spans="1:248" ht="27" customHeight="1">
      <c r="A61" s="1"/>
      <c r="B61" s="1"/>
      <c r="C61" s="1"/>
      <c r="D61" s="1"/>
      <c r="E61" s="1"/>
      <c r="F61" s="11" t="s">
        <v>66</v>
      </c>
      <c r="G61" s="53" t="s">
        <v>67</v>
      </c>
      <c r="H61" s="53"/>
      <c r="I61" s="53"/>
      <c r="J61" s="53"/>
      <c r="K61" s="53"/>
      <c r="L61" s="53"/>
      <c r="M61" s="53"/>
      <c r="N61" s="53"/>
      <c r="O61" s="53"/>
      <c r="P61" s="53"/>
      <c r="Q61" s="26"/>
      <c r="R61" s="26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</row>
    <row r="62" spans="1:248" ht="30" customHeight="1">
      <c r="A62" s="1"/>
      <c r="B62" s="1"/>
      <c r="C62" s="1"/>
      <c r="D62" s="1"/>
      <c r="E62" s="1"/>
      <c r="F62" s="55" t="s">
        <v>68</v>
      </c>
      <c r="G62" s="55"/>
      <c r="H62" s="27" t="str">
        <f>god&amp;" г. -"</f>
        <v>2020 г. -</v>
      </c>
      <c r="I62" s="48">
        <f>'[1]Расчет тарифа(корректировка) МИ'!P52</f>
        <v>361.15192500000001</v>
      </c>
      <c r="J62" s="48"/>
      <c r="K62" s="27" t="str">
        <f>IF(TYPE="Корректировка","",god+1&amp;" г. -")</f>
        <v/>
      </c>
      <c r="L62" s="48" t="str">
        <f>IF(TYPE="Корректировка","",'[1]Расчет тарифа(корректировка) МИ'!S52)</f>
        <v/>
      </c>
      <c r="M62" s="42"/>
      <c r="N62" s="27" t="str">
        <f>IF(TYPE="Корректировка","",god+2&amp;" г. -")</f>
        <v/>
      </c>
      <c r="O62" s="48" t="str">
        <f>IF(TYPE="Корректировка","",'[1]Расчет тарифа(корректировка) МИ'!V52)</f>
        <v/>
      </c>
      <c r="P62" s="42"/>
      <c r="Q62" s="3"/>
      <c r="R62" s="3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</row>
    <row r="63" spans="1:248" ht="19.5" hidden="1" customHeight="1">
      <c r="A63" s="28" t="b">
        <f>AND(PERIOD_LENGTH&gt;3,TYPE="Базовый")</f>
        <v>0</v>
      </c>
      <c r="B63" s="1"/>
      <c r="C63" s="1"/>
      <c r="D63" s="1"/>
      <c r="E63" s="1"/>
      <c r="F63" s="55"/>
      <c r="G63" s="55"/>
      <c r="H63" s="27" t="str">
        <f>god+3&amp;" г. -"</f>
        <v>2023 г. -</v>
      </c>
      <c r="I63" s="48">
        <f>'[1]Расчет тарифа(корректировка) МИ'!Y52</f>
        <v>243092.35944187545</v>
      </c>
      <c r="J63" s="42"/>
      <c r="K63" s="27" t="str">
        <f>god+4&amp;" г. -"</f>
        <v>2024 г. -</v>
      </c>
      <c r="L63" s="48">
        <f>'[1]Расчет тарифа(корректировка) МИ'!AB52</f>
        <v>250287.89328135495</v>
      </c>
      <c r="M63" s="42"/>
      <c r="N63" s="12"/>
      <c r="O63" s="17"/>
      <c r="P63" s="9"/>
      <c r="Q63" s="3"/>
      <c r="R63" s="3"/>
      <c r="S63" s="28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</row>
    <row r="64" spans="1:248" ht="16.5" customHeight="1">
      <c r="A64" s="1"/>
      <c r="B64" s="1"/>
      <c r="C64" s="1"/>
      <c r="D64" s="1"/>
      <c r="E64" s="1"/>
      <c r="F64" s="55" t="s">
        <v>69</v>
      </c>
      <c r="G64" s="55"/>
      <c r="H64" s="42" t="s">
        <v>70</v>
      </c>
      <c r="I64" s="42"/>
      <c r="J64" s="42"/>
      <c r="K64" s="9" t="s">
        <v>71</v>
      </c>
      <c r="L64" s="17" t="s">
        <v>72</v>
      </c>
      <c r="M64" s="9" t="s">
        <v>73</v>
      </c>
      <c r="N64" s="9" t="s">
        <v>71</v>
      </c>
      <c r="O64" s="9" t="s">
        <v>72</v>
      </c>
      <c r="P64" s="9" t="s">
        <v>73</v>
      </c>
      <c r="Q64" s="3"/>
      <c r="R64" s="3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</row>
    <row r="65" spans="1:248" ht="29.25" customHeight="1">
      <c r="A65" s="1"/>
      <c r="B65" s="1"/>
      <c r="C65" s="1"/>
      <c r="D65" s="1"/>
      <c r="E65" s="1"/>
      <c r="F65" s="55"/>
      <c r="G65" s="55"/>
      <c r="H65" s="42"/>
      <c r="I65" s="42"/>
      <c r="J65" s="42"/>
      <c r="K65" s="12" t="str">
        <f>god&amp;" г./ "&amp;god-1&amp;" г."</f>
        <v>2020 г./ 2019 г.</v>
      </c>
      <c r="L65" s="22">
        <f>'[1]Расчет тарифа(корректировка) МИ'!P52-'[1]Расчет тарифа(корректировка) МИ'!K52</f>
        <v>-106.91807499999999</v>
      </c>
      <c r="M65" s="29">
        <f>IF('[1]Расчет тарифа(корректировка) МИ'!K52=0,0,'[1]Расчет тарифа(корректировка) МИ'!P52/'[1]Расчет тарифа(корректировка) МИ'!K52)</f>
        <v>0.7715767406584485</v>
      </c>
      <c r="N65" s="12" t="str">
        <f>god&amp;" г./ "&amp;god-2&amp;" г."</f>
        <v>2020 г./ 2018 г.</v>
      </c>
      <c r="O65" s="22">
        <f>'[1]Расчет тарифа(корректировка) МИ'!P52-'[1]Расчет тарифа(корректировка) МИ'!I52</f>
        <v>-163.76807500000007</v>
      </c>
      <c r="P65" s="29">
        <f>IF('[1]Расчет тарифа(корректировка) МИ'!I52=0,0,'[1]Расчет тарифа(корректировка) МИ'!P52/'[1]Расчет тарифа(корректировка) МИ'!I52)</f>
        <v>0.68801326868856194</v>
      </c>
      <c r="Q65" s="3"/>
      <c r="R65" s="3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</row>
    <row r="66" spans="1:248" ht="29.25" hidden="1" customHeight="1">
      <c r="A66" s="1" t="b">
        <f>TYPE&lt;&gt;"Корректировка"</f>
        <v>0</v>
      </c>
      <c r="B66" s="1"/>
      <c r="C66" s="1"/>
      <c r="D66" s="1"/>
      <c r="E66" s="1"/>
      <c r="F66" s="55"/>
      <c r="G66" s="55"/>
      <c r="H66" s="42"/>
      <c r="I66" s="42"/>
      <c r="J66" s="42"/>
      <c r="K66" s="12" t="str">
        <f>god+1&amp;" г./ "&amp;god&amp;" г."</f>
        <v>2021 г./ 2020 г.</v>
      </c>
      <c r="L66" s="22" t="e">
        <f>L62-I62</f>
        <v>#VALUE!</v>
      </c>
      <c r="M66" s="29" t="e">
        <f>IF(I62=0,0,L62/I62)</f>
        <v>#VALUE!</v>
      </c>
      <c r="N66" s="12" t="str">
        <f>god+2&amp;" г./ "&amp;god+1&amp;" г."</f>
        <v>2022 г./ 2021 г.</v>
      </c>
      <c r="O66" s="22" t="e">
        <f>O62-L62</f>
        <v>#VALUE!</v>
      </c>
      <c r="P66" s="29" t="e">
        <f>IF(L62=0,0,O62/L62)</f>
        <v>#VALUE!</v>
      </c>
      <c r="Q66" s="30"/>
      <c r="R66" s="3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</row>
    <row r="67" spans="1:248" ht="29.25" hidden="1" customHeight="1">
      <c r="A67" s="28" t="b">
        <f>AND(PERIOD_LENGTH&gt;3,TYPE="Базовый")</f>
        <v>0</v>
      </c>
      <c r="B67" s="1"/>
      <c r="C67" s="1"/>
      <c r="D67" s="1"/>
      <c r="E67" s="1"/>
      <c r="F67" s="55"/>
      <c r="G67" s="55"/>
      <c r="H67" s="42"/>
      <c r="I67" s="42"/>
      <c r="J67" s="42"/>
      <c r="K67" s="12" t="str">
        <f>god+3&amp;" г./ "&amp;god+2&amp;" г."</f>
        <v>2023 г./ 2022 г.</v>
      </c>
      <c r="L67" s="22" t="e">
        <f>I63-O62</f>
        <v>#VALUE!</v>
      </c>
      <c r="M67" s="29" t="e">
        <f>IF(O62=0,0,I63/O62)</f>
        <v>#VALUE!</v>
      </c>
      <c r="N67" s="12" t="str">
        <f>god+4&amp;" г./ "&amp;god+3&amp;" г."</f>
        <v>2024 г./ 2023 г.</v>
      </c>
      <c r="O67" s="22">
        <f>L63-I63</f>
        <v>7195.5338394794962</v>
      </c>
      <c r="P67" s="29">
        <f>IF(I63=0,0,L63/I63)</f>
        <v>1.0295999999999998</v>
      </c>
      <c r="Q67" s="3"/>
      <c r="R67" s="3"/>
      <c r="S67" s="28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</row>
    <row r="68" spans="1:248" ht="30" customHeight="1">
      <c r="A68" s="1"/>
      <c r="B68" s="1"/>
      <c r="C68" s="1"/>
      <c r="D68" s="1"/>
      <c r="E68" s="1"/>
      <c r="F68" s="55" t="s">
        <v>74</v>
      </c>
      <c r="G68" s="55"/>
      <c r="H68" s="27" t="str">
        <f>god&amp;" г. -"</f>
        <v>2020 г. -</v>
      </c>
      <c r="I68" s="48">
        <f>'[1]Расчет тарифа(корректировка) МИ'!P25+'[1]Расчет тарифа(корректировка) МИ'!P34</f>
        <v>220.15192500000001</v>
      </c>
      <c r="J68" s="48"/>
      <c r="K68" s="27" t="str">
        <f>IF(TYPE="Корректировка","",god+1&amp;" г. -")</f>
        <v/>
      </c>
      <c r="L68" s="48" t="str">
        <f>IF(TYPE="Корректировка","",'[1]Расчет тарифа(корректировка) МИ'!S25+'[1]Расчет тарифа(корректировка) МИ'!S34)</f>
        <v/>
      </c>
      <c r="M68" s="42"/>
      <c r="N68" s="27" t="str">
        <f>IF(TYPE="Корректировка","",god+2&amp;" г. -")</f>
        <v/>
      </c>
      <c r="O68" s="48" t="str">
        <f>IF(TYPE="Корректировка","",'[1]Расчет тарифа(корректировка) МИ'!V25+'[1]Расчет тарифа(корректировка) МИ'!V34)</f>
        <v/>
      </c>
      <c r="P68" s="42"/>
      <c r="Q68" s="3"/>
      <c r="R68" s="3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</row>
    <row r="69" spans="1:248" ht="20.25" hidden="1" customHeight="1">
      <c r="A69" s="28" t="b">
        <f>AND(PERIOD_LENGTH&gt;3,TYPE="Базовый")</f>
        <v>0</v>
      </c>
      <c r="B69" s="1"/>
      <c r="C69" s="1"/>
      <c r="D69" s="1"/>
      <c r="E69" s="1"/>
      <c r="F69" s="55"/>
      <c r="G69" s="55"/>
      <c r="H69" s="27" t="str">
        <f>god+3&amp;" г. -"</f>
        <v>2023 г. -</v>
      </c>
      <c r="I69" s="48">
        <f>'[1]Расчет тарифа(корректировка) МИ'!Y25+'[1]Расчет тарифа(корректировка) МИ'!Y34</f>
        <v>243092.35944187545</v>
      </c>
      <c r="J69" s="42"/>
      <c r="K69" s="27" t="str">
        <f>god+4&amp;" г. -"</f>
        <v>2024 г. -</v>
      </c>
      <c r="L69" s="48">
        <f>'[1]Расчет тарифа(корректировка) МИ'!AB25+'[1]Расчет тарифа(корректировка) МИ'!AB34</f>
        <v>250287.89328135495</v>
      </c>
      <c r="M69" s="42"/>
      <c r="N69" s="12"/>
      <c r="O69" s="17"/>
      <c r="P69" s="9"/>
      <c r="Q69" s="3"/>
      <c r="R69" s="3"/>
      <c r="S69" s="2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</row>
    <row r="70" spans="1:248" ht="30" customHeight="1">
      <c r="A70" s="1"/>
      <c r="B70" s="1"/>
      <c r="C70" s="1"/>
      <c r="D70" s="1"/>
      <c r="E70" s="1"/>
      <c r="F70" s="42" t="s">
        <v>75</v>
      </c>
      <c r="G70" s="42"/>
      <c r="H70" s="42" t="s">
        <v>76</v>
      </c>
      <c r="I70" s="42"/>
      <c r="J70" s="42"/>
      <c r="K70" s="9" t="s">
        <v>71</v>
      </c>
      <c r="L70" s="17" t="s">
        <v>72</v>
      </c>
      <c r="M70" s="9" t="s">
        <v>73</v>
      </c>
      <c r="N70" s="9" t="s">
        <v>71</v>
      </c>
      <c r="O70" s="9" t="s">
        <v>72</v>
      </c>
      <c r="P70" s="9" t="s">
        <v>73</v>
      </c>
      <c r="Q70" s="3"/>
      <c r="R70" s="3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</row>
    <row r="71" spans="1:248" ht="30" customHeight="1">
      <c r="A71" s="1"/>
      <c r="B71" s="1"/>
      <c r="C71" s="1"/>
      <c r="D71" s="1"/>
      <c r="E71" s="1"/>
      <c r="F71" s="42"/>
      <c r="G71" s="42"/>
      <c r="H71" s="42"/>
      <c r="I71" s="42"/>
      <c r="J71" s="42"/>
      <c r="K71" s="12" t="str">
        <f>god&amp;" г./ "&amp;god-1&amp;" г."</f>
        <v>2020 г./ 2019 г.</v>
      </c>
      <c r="L71" s="22">
        <f>('[1]Расчет тарифа(корректировка) МИ'!P25+'[1]Расчет тарифа(корректировка) МИ'!P34)-('[1]Расчет тарифа(корректировка) МИ'!K25+'[1]Расчет тарифа(корректировка) МИ'!K34)</f>
        <v>-247.91807499999999</v>
      </c>
      <c r="M71" s="29">
        <f>IF(('[1]Расчет тарифа(корректировка) МИ'!K25+'[1]Расчет тарифа(корректировка) МИ'!K34)=0,0,('[1]Расчет тарифа(корректировка) МИ'!P25+'[1]Расчет тарифа(корректировка) МИ'!P34)/('[1]Расчет тарифа(корректировка) МИ'!K25+'[1]Расчет тарифа(корректировка) МИ'!K34))</f>
        <v>0.47033974619180896</v>
      </c>
      <c r="N71" s="12" t="str">
        <f>god&amp;" г./ "&amp;god-2&amp;" г."</f>
        <v>2020 г./ 2018 г.</v>
      </c>
      <c r="O71" s="22">
        <f>I68-('[1]Расчет тарифа(корректировка) МИ'!I25+'[1]Расчет тарифа(корректировка) МИ'!I34)</f>
        <v>-304.76807500000007</v>
      </c>
      <c r="P71" s="29">
        <f>IF(('[1]Расчет тарифа(корректировка) МИ'!I25+'[1]Расчет тарифа(корректировка) МИ'!I34)=0,0,I68/('[1]Расчет тарифа(корректировка) МИ'!I25+'[1]Расчет тарифа(корректировка) МИ'!I34))</f>
        <v>0.4194009087098986</v>
      </c>
      <c r="Q71" s="3"/>
      <c r="R71" s="3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</row>
    <row r="72" spans="1:248" ht="30" hidden="1" customHeight="1">
      <c r="A72" s="1" t="b">
        <f>TYPE&lt;&gt;"Корректировка"</f>
        <v>0</v>
      </c>
      <c r="B72" s="1"/>
      <c r="C72" s="1"/>
      <c r="D72" s="1"/>
      <c r="E72" s="1"/>
      <c r="F72" s="42"/>
      <c r="G72" s="42"/>
      <c r="H72" s="42"/>
      <c r="I72" s="42"/>
      <c r="J72" s="42"/>
      <c r="K72" s="12" t="str">
        <f>god+1&amp;" г./ "&amp;god&amp;" г."</f>
        <v>2021 г./ 2020 г.</v>
      </c>
      <c r="L72" s="22" t="e">
        <f>L68-I68</f>
        <v>#VALUE!</v>
      </c>
      <c r="M72" s="29" t="e">
        <f>IF(I68=0,0,L68/I68)</f>
        <v>#VALUE!</v>
      </c>
      <c r="N72" s="12" t="str">
        <f>god+2&amp;" г./ "&amp;god+1&amp;" г."</f>
        <v>2022 г./ 2021 г.</v>
      </c>
      <c r="O72" s="22" t="e">
        <f>O68-L68</f>
        <v>#VALUE!</v>
      </c>
      <c r="P72" s="29" t="e">
        <f>IF(L68=0,0,O68/L68)</f>
        <v>#VALUE!</v>
      </c>
      <c r="Q72" s="3"/>
      <c r="R72" s="3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</row>
    <row r="73" spans="1:248" ht="30" hidden="1" customHeight="1">
      <c r="A73" s="28" t="b">
        <f>AND(PERIOD_LENGTH&gt;3,TYPE="Базовый")</f>
        <v>0</v>
      </c>
      <c r="B73" s="1"/>
      <c r="C73" s="1"/>
      <c r="D73" s="1"/>
      <c r="E73" s="1"/>
      <c r="F73" s="42"/>
      <c r="G73" s="42"/>
      <c r="H73" s="42"/>
      <c r="I73" s="42"/>
      <c r="J73" s="42"/>
      <c r="K73" s="12" t="str">
        <f>god+3&amp;" г./ "&amp;god+2&amp;" г."</f>
        <v>2023 г./ 2022 г.</v>
      </c>
      <c r="L73" s="22" t="e">
        <f>I69-O68</f>
        <v>#VALUE!</v>
      </c>
      <c r="M73" s="29" t="e">
        <f>IF(O68=0,0,I69/O68)</f>
        <v>#VALUE!</v>
      </c>
      <c r="N73" s="12" t="str">
        <f>god+4&amp;" г./ "&amp;god+3&amp;" г."</f>
        <v>2024 г./ 2023 г.</v>
      </c>
      <c r="O73" s="22">
        <f>L69-I69</f>
        <v>7195.5338394794962</v>
      </c>
      <c r="P73" s="29">
        <f>IF(I69=0,0,L69/I69)</f>
        <v>1.0295999999999998</v>
      </c>
      <c r="Q73" s="3"/>
      <c r="R73" s="3"/>
      <c r="S73" s="28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</row>
    <row r="74" spans="1:248" ht="18.75" customHeight="1">
      <c r="A74" s="1"/>
      <c r="B74" s="1"/>
      <c r="C74" s="1"/>
      <c r="D74" s="1"/>
      <c r="E74" s="1"/>
      <c r="F74" s="56" t="s">
        <v>77</v>
      </c>
      <c r="G74" s="56"/>
      <c r="H74" s="42" t="str">
        <f>god&amp;" г. "</f>
        <v xml:space="preserve">2020 г. </v>
      </c>
      <c r="I74" s="42"/>
      <c r="J74" s="42" t="str">
        <f>IF(TYPE="Корректировка","",god+1&amp;" г. ")</f>
        <v/>
      </c>
      <c r="K74" s="42"/>
      <c r="L74" s="42" t="str">
        <f>IF(TYPE="Корректировка","",god+2&amp;" г. ")</f>
        <v/>
      </c>
      <c r="M74" s="42"/>
      <c r="N74" s="54" t="str">
        <f>IF(TYPE="Корректировка","",god+3&amp;" г. ")</f>
        <v/>
      </c>
      <c r="O74" s="54"/>
      <c r="P74" s="31" t="str">
        <f>IF(TYPE="Корректировка","",god+4&amp;" г. ")</f>
        <v/>
      </c>
      <c r="Q74" s="3"/>
      <c r="R74" s="3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</row>
    <row r="75" spans="1:248" ht="18.75" customHeight="1">
      <c r="A75" s="1"/>
      <c r="B75" s="1"/>
      <c r="C75" s="1"/>
      <c r="D75" s="1"/>
      <c r="E75" s="1"/>
      <c r="F75" s="56"/>
      <c r="G75" s="56"/>
      <c r="H75" s="48">
        <f>[1]Смета!P50</f>
        <v>0</v>
      </c>
      <c r="I75" s="42"/>
      <c r="J75" s="48" t="str">
        <f>IF(TYPE="Корректировка","",H75*'[1]Расчет тарифа(корректировка) МИ'!T26/100)</f>
        <v/>
      </c>
      <c r="K75" s="48"/>
      <c r="L75" s="48" t="str">
        <f>IF(TYPE="Корректировка","",J75*'[1]Расчет тарифа(корректировка) МИ'!W26/100)</f>
        <v/>
      </c>
      <c r="M75" s="48"/>
      <c r="N75" s="57" t="str">
        <f>IF(TYPE="Корректировка","",'ПП ХВС (ВО)'!L75*'[1]Расчет тарифа(корректировка) МИ'!Z26/100)</f>
        <v/>
      </c>
      <c r="O75" s="57"/>
      <c r="P75" s="22" t="str">
        <f>IF(TYPE="Корректировка","",N75*'[1]Расчет тарифа(корректировка) МИ'!AC26/100)</f>
        <v/>
      </c>
      <c r="Q75" s="3"/>
      <c r="R75" s="3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</row>
    <row r="76" spans="1:248" ht="45" customHeight="1">
      <c r="A76" s="1"/>
      <c r="B76" s="1"/>
      <c r="C76" s="1"/>
      <c r="D76" s="1"/>
      <c r="E76" s="1"/>
      <c r="F76" s="56" t="s">
        <v>78</v>
      </c>
      <c r="G76" s="56"/>
      <c r="H76" s="48">
        <f>[1]Смета!P51</f>
        <v>0</v>
      </c>
      <c r="I76" s="42"/>
      <c r="J76" s="48" t="str">
        <f>IF(TYPE="Корректировка","",H76*'[1]Расчет тарифа(корректировка) МИ'!T26/100)</f>
        <v/>
      </c>
      <c r="K76" s="48"/>
      <c r="L76" s="48" t="str">
        <f>IF(TYPE="Корректировка","",J76*'[1]Расчет тарифа(корректировка) МИ'!W26/100)</f>
        <v/>
      </c>
      <c r="M76" s="48"/>
      <c r="N76" s="57" t="str">
        <f>IF(TYPE="Корректировка","",'ПП ХВС (ВО)'!L76*'[1]Расчет тарифа(корректировка) МИ'!Z26/100)</f>
        <v/>
      </c>
      <c r="O76" s="57"/>
      <c r="P76" s="22" t="str">
        <f>IF(TYPE="Корректировка","",N76*'[1]Расчет тарифа(корректировка) МИ'!AC26/100)</f>
        <v/>
      </c>
      <c r="Q76" s="3"/>
      <c r="R76" s="3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</row>
    <row r="77" spans="1:248" ht="78" customHeight="1">
      <c r="A77" s="32"/>
      <c r="B77" s="1"/>
      <c r="C77" s="1"/>
      <c r="D77" s="1"/>
      <c r="E77" s="1"/>
      <c r="F77" s="17" t="s">
        <v>79</v>
      </c>
      <c r="G77" s="60" t="s">
        <v>80</v>
      </c>
      <c r="H77" s="60"/>
      <c r="I77" s="60"/>
      <c r="J77" s="60"/>
      <c r="K77" s="60"/>
      <c r="L77" s="60"/>
      <c r="M77" s="60"/>
      <c r="N77" s="60"/>
      <c r="O77" s="60"/>
      <c r="P77" s="60"/>
      <c r="Q77" s="33"/>
      <c r="R77" s="3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</row>
    <row r="78" spans="1:248" ht="27" customHeight="1">
      <c r="A78" s="32"/>
      <c r="B78" s="1"/>
      <c r="C78" s="1"/>
      <c r="D78" s="1"/>
      <c r="E78" s="1"/>
      <c r="F78" s="17"/>
      <c r="G78" s="61" t="s">
        <v>81</v>
      </c>
      <c r="H78" s="61"/>
      <c r="I78" s="61"/>
      <c r="J78" s="61"/>
      <c r="K78" s="61"/>
      <c r="L78" s="61"/>
      <c r="M78" s="61"/>
      <c r="N78" s="61"/>
      <c r="O78" s="61"/>
      <c r="P78" s="61"/>
      <c r="Q78" s="33" t="s">
        <v>82</v>
      </c>
      <c r="R78" s="33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</row>
    <row r="79" spans="1:248" ht="45" customHeight="1">
      <c r="A79" s="1"/>
      <c r="B79" s="1"/>
      <c r="C79" s="1"/>
      <c r="D79" s="1"/>
      <c r="E79" s="1"/>
      <c r="F79" s="17" t="s">
        <v>83</v>
      </c>
      <c r="G79" s="60" t="s">
        <v>84</v>
      </c>
      <c r="H79" s="60"/>
      <c r="I79" s="60"/>
      <c r="J79" s="60"/>
      <c r="K79" s="60"/>
      <c r="L79" s="60"/>
      <c r="M79" s="60"/>
      <c r="N79" s="60"/>
      <c r="O79" s="60"/>
      <c r="P79" s="60"/>
      <c r="Q79" s="3"/>
      <c r="R79" s="3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</row>
    <row r="80" spans="1:248" ht="57" customHeight="1">
      <c r="A80" s="3"/>
      <c r="B80" s="1"/>
      <c r="C80" s="1"/>
      <c r="D80" s="1"/>
      <c r="E80" s="1"/>
      <c r="F80" s="17" t="s">
        <v>10</v>
      </c>
      <c r="G80" s="48" t="s">
        <v>85</v>
      </c>
      <c r="H80" s="48"/>
      <c r="I80" s="48"/>
      <c r="J80" s="34" t="str">
        <f>"Факт "&amp;god-2&amp;" года "</f>
        <v xml:space="preserve">Факт 2018 года </v>
      </c>
      <c r="K80" s="34" t="str">
        <f>"План Органа регулирования на "&amp;god-1&amp;" год"</f>
        <v>План Органа регулирования на 2019 год</v>
      </c>
      <c r="L80" s="34" t="str">
        <f>"План Органа регулирования на "&amp;god&amp;" год"</f>
        <v>План Органа регулирования на 2020 год</v>
      </c>
      <c r="M80" s="34" t="str">
        <f>IF(TYPE="Корректировка","","План Органа регулирования на "&amp;god+1&amp;" год")</f>
        <v/>
      </c>
      <c r="N80" s="34" t="str">
        <f>IF(TYPE="Корректировка","","План Органа регулирования на "&amp;god+2&amp;" год")</f>
        <v/>
      </c>
      <c r="O80" s="34" t="str">
        <f>IF(TYPE="Корректировка","","План Органа регулирования на "&amp;god+3&amp;" год")</f>
        <v/>
      </c>
      <c r="P80" s="34" t="str">
        <f>IF(TYPE="Корректировка","","План Органа регулирования на "&amp;god+4&amp;" год")</f>
        <v/>
      </c>
      <c r="Q80" s="3"/>
      <c r="R80" s="3"/>
      <c r="S80" s="3"/>
      <c r="T80" s="3"/>
      <c r="U80" s="3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</row>
    <row r="81" spans="1:248" ht="17.25" hidden="1" customHeight="1">
      <c r="A81" s="35" t="b">
        <f>AND(sphere = "Водоснабжение")</f>
        <v>0</v>
      </c>
      <c r="B81" s="1"/>
      <c r="C81" s="1"/>
      <c r="D81" s="1"/>
      <c r="E81" s="1"/>
      <c r="F81" s="11" t="s">
        <v>14</v>
      </c>
      <c r="G81" s="55" t="s">
        <v>86</v>
      </c>
      <c r="H81" s="55"/>
      <c r="I81" s="55"/>
      <c r="J81" s="58"/>
      <c r="K81" s="58"/>
      <c r="L81" s="58"/>
      <c r="M81" s="58"/>
      <c r="N81" s="58"/>
      <c r="O81" s="58"/>
      <c r="P81" s="58"/>
      <c r="Q81" s="3"/>
      <c r="R81" s="3"/>
      <c r="S81" s="35"/>
      <c r="T81" s="3"/>
      <c r="U81" s="3"/>
      <c r="V81" s="35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</row>
    <row r="82" spans="1:248" ht="93" hidden="1" customHeight="1">
      <c r="A82" s="35" t="b">
        <f>AND(sphere = "Водоснабжение")</f>
        <v>0</v>
      </c>
      <c r="B82" s="1"/>
      <c r="C82" s="1"/>
      <c r="D82" s="1"/>
      <c r="E82" s="1"/>
      <c r="F82" s="44" t="s">
        <v>46</v>
      </c>
      <c r="G82" s="58" t="s">
        <v>87</v>
      </c>
      <c r="H82" s="58"/>
      <c r="I82" s="58"/>
      <c r="J82" s="22">
        <f>[1]Показатели!O25</f>
        <v>0</v>
      </c>
      <c r="K82" s="22">
        <f>[1]Показатели!P25</f>
        <v>0</v>
      </c>
      <c r="L82" s="22">
        <f>[1]Показатели!AD25</f>
        <v>0</v>
      </c>
      <c r="M82" s="22" t="str">
        <f>IF(TYPE="Корректировка","",[1]Показатели!AE25)</f>
        <v/>
      </c>
      <c r="N82" s="22" t="str">
        <f>IF(TYPE="Корректировка","",[1]Показатели!AF25)</f>
        <v/>
      </c>
      <c r="O82" s="22" t="str">
        <f>IF(TYPE="Корректировка","",[1]Показатели!AG25)</f>
        <v/>
      </c>
      <c r="P82" s="22" t="str">
        <f>IF(TYPE="Корректировка","",[1]Показатели!AH25)</f>
        <v/>
      </c>
      <c r="Q82" s="3"/>
      <c r="R82" s="3"/>
      <c r="S82" s="35"/>
      <c r="T82" s="3"/>
      <c r="U82" s="3"/>
      <c r="V82" s="35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</row>
    <row r="83" spans="1:248" ht="18" hidden="1" customHeight="1">
      <c r="A83" s="35" t="b">
        <f>AND(sphere = "Водоснабжение")</f>
        <v>0</v>
      </c>
      <c r="B83" s="1"/>
      <c r="C83" s="1"/>
      <c r="D83" s="1"/>
      <c r="E83" s="1"/>
      <c r="F83" s="44"/>
      <c r="G83" s="42" t="s">
        <v>88</v>
      </c>
      <c r="H83" s="42"/>
      <c r="I83" s="42"/>
      <c r="J83" s="36" t="s">
        <v>89</v>
      </c>
      <c r="K83" s="36" t="s">
        <v>89</v>
      </c>
      <c r="L83" s="36" t="str">
        <f>IF(K82=0,"-",L82/K82)</f>
        <v>-</v>
      </c>
      <c r="M83" s="36" t="str">
        <f>IF(TYPE="Корректировка","",IF(L82=0,"-",M82/L82))</f>
        <v/>
      </c>
      <c r="N83" s="36" t="str">
        <f>IF(TYPE="Корректировка","",IF(M82=0,"-",N82/M82))</f>
        <v/>
      </c>
      <c r="O83" s="36" t="str">
        <f>IF(TYPE="Корректировка","",IF(N82=0,"-",O82/N82))</f>
        <v/>
      </c>
      <c r="P83" s="36" t="str">
        <f>IF(TYPE="Корректировка","",IF(O82=0,"-",P82/O82))</f>
        <v/>
      </c>
      <c r="Q83" s="3"/>
      <c r="R83" s="3"/>
      <c r="S83" s="35"/>
      <c r="T83" s="3"/>
      <c r="U83" s="3"/>
      <c r="V83" s="35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</row>
    <row r="84" spans="1:248" ht="75.75" hidden="1" customHeight="1">
      <c r="A84" s="35" t="b">
        <f>AND(sphere = "Водоснабжение")</f>
        <v>0</v>
      </c>
      <c r="B84" s="1"/>
      <c r="C84" s="1"/>
      <c r="D84" s="1"/>
      <c r="E84" s="1"/>
      <c r="F84" s="43" t="s">
        <v>48</v>
      </c>
      <c r="G84" s="58" t="s">
        <v>90</v>
      </c>
      <c r="H84" s="58"/>
      <c r="I84" s="58"/>
      <c r="J84" s="22">
        <f>[1]Показатели!O28</f>
        <v>0</v>
      </c>
      <c r="K84" s="22">
        <f>[1]Показатели!P28</f>
        <v>0</v>
      </c>
      <c r="L84" s="22">
        <f>[1]Показатели!AD28</f>
        <v>0</v>
      </c>
      <c r="M84" s="22" t="str">
        <f>IF(TYPE="Корректировка","",[1]Показатели!AE28)</f>
        <v/>
      </c>
      <c r="N84" s="22" t="str">
        <f>IF(TYPE="Корректировка","",[1]Показатели!AF28)</f>
        <v/>
      </c>
      <c r="O84" s="22" t="str">
        <f>IF(TYPE="Корректировка","",[1]Показатели!AG28)</f>
        <v/>
      </c>
      <c r="P84" s="22" t="str">
        <f>IF(TYPE="Корректировка","",[1]Показатели!AH28)</f>
        <v/>
      </c>
      <c r="Q84" s="3"/>
      <c r="R84" s="3"/>
      <c r="S84" s="35"/>
      <c r="T84" s="3"/>
      <c r="U84" s="3"/>
      <c r="V84" s="35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</row>
    <row r="85" spans="1:248" ht="18" hidden="1" customHeight="1">
      <c r="A85" s="35" t="b">
        <f>AND(sphere = "Водоснабжение")</f>
        <v>0</v>
      </c>
      <c r="B85" s="1"/>
      <c r="C85" s="1"/>
      <c r="D85" s="1"/>
      <c r="E85" s="1"/>
      <c r="F85" s="43"/>
      <c r="G85" s="42" t="s">
        <v>91</v>
      </c>
      <c r="H85" s="42"/>
      <c r="I85" s="42"/>
      <c r="J85" s="36" t="s">
        <v>89</v>
      </c>
      <c r="K85" s="36" t="s">
        <v>89</v>
      </c>
      <c r="L85" s="36" t="str">
        <f>IF(K84=0,"-",L84/K84)</f>
        <v>-</v>
      </c>
      <c r="M85" s="36" t="str">
        <f>IF(TYPE="Корректировка","",IF(L84=0,"-",M84/L84))</f>
        <v/>
      </c>
      <c r="N85" s="36" t="str">
        <f>IF(TYPE="Корректировка","",IF(M84=0,"-",N84/M84))</f>
        <v/>
      </c>
      <c r="O85" s="36" t="str">
        <f>IF(TYPE="Корректировка","",IF(N84=0,"-",O84/N84))</f>
        <v/>
      </c>
      <c r="P85" s="36" t="str">
        <f>IF(TYPE="Корректировка","",IF(O84=0,"-",P84/O84))</f>
        <v/>
      </c>
      <c r="Q85" s="3"/>
      <c r="R85" s="3"/>
      <c r="S85" s="35"/>
      <c r="T85" s="3"/>
      <c r="U85" s="3"/>
      <c r="V85" s="35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</row>
    <row r="86" spans="1:248" ht="18" customHeight="1">
      <c r="A86" s="37" t="b">
        <f t="shared" ref="A86:A92" si="6">AND(sphere = "Водоотведение")</f>
        <v>1</v>
      </c>
      <c r="B86" s="1"/>
      <c r="C86" s="1"/>
      <c r="D86" s="1"/>
      <c r="E86" s="1"/>
      <c r="F86" s="21" t="s">
        <v>14</v>
      </c>
      <c r="G86" s="59" t="s">
        <v>92</v>
      </c>
      <c r="H86" s="59"/>
      <c r="I86" s="59"/>
      <c r="J86" s="59"/>
      <c r="K86" s="59"/>
      <c r="L86" s="59"/>
      <c r="M86" s="59"/>
      <c r="N86" s="59"/>
      <c r="O86" s="59"/>
      <c r="P86" s="59"/>
      <c r="Q86" s="3"/>
      <c r="R86" s="3"/>
      <c r="S86" s="37"/>
      <c r="T86" s="3"/>
      <c r="U86" s="3"/>
      <c r="V86" s="3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</row>
    <row r="87" spans="1:248" ht="36.75" customHeight="1">
      <c r="A87" s="37" t="b">
        <f t="shared" si="6"/>
        <v>1</v>
      </c>
      <c r="B87" s="1"/>
      <c r="C87" s="1"/>
      <c r="D87" s="1"/>
      <c r="E87" s="1"/>
      <c r="F87" s="21" t="s">
        <v>46</v>
      </c>
      <c r="G87" s="58" t="s">
        <v>93</v>
      </c>
      <c r="H87" s="58" t="s">
        <v>93</v>
      </c>
      <c r="I87" s="58"/>
      <c r="J87" s="22">
        <f>[1]Показатели!O32</f>
        <v>100</v>
      </c>
      <c r="K87" s="22">
        <f>[1]Показатели!P32</f>
        <v>100</v>
      </c>
      <c r="L87" s="22">
        <f>[1]Показатели!AD32</f>
        <v>100</v>
      </c>
      <c r="M87" s="22" t="str">
        <f>IF(TYPE="Корректировка","",[1]Показатели!AE32)</f>
        <v/>
      </c>
      <c r="N87" s="22" t="str">
        <f>IF(TYPE="Корректировка","",[1]Показатели!AF32)</f>
        <v/>
      </c>
      <c r="O87" s="22" t="str">
        <f>IF(TYPE="Корректировка","",[1]Показатели!AG32)</f>
        <v/>
      </c>
      <c r="P87" s="22" t="str">
        <f>IF(TYPE="Корректировка","",[1]Показатели!AH32)</f>
        <v/>
      </c>
      <c r="Q87" s="3"/>
      <c r="R87" s="3"/>
      <c r="S87" s="37"/>
      <c r="T87" s="3"/>
      <c r="U87" s="3"/>
      <c r="V87" s="3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</row>
    <row r="88" spans="1:248" ht="18" customHeight="1">
      <c r="A88" s="37" t="b">
        <f t="shared" si="6"/>
        <v>1</v>
      </c>
      <c r="B88" s="1"/>
      <c r="C88" s="1"/>
      <c r="D88" s="1"/>
      <c r="E88" s="1"/>
      <c r="F88" s="21"/>
      <c r="G88" s="42" t="s">
        <v>91</v>
      </c>
      <c r="H88" s="42"/>
      <c r="I88" s="42"/>
      <c r="J88" s="36" t="s">
        <v>89</v>
      </c>
      <c r="K88" s="36" t="s">
        <v>89</v>
      </c>
      <c r="L88" s="36">
        <f>IF(K87=0,"-",L87/K87)</f>
        <v>1</v>
      </c>
      <c r="M88" s="36" t="str">
        <f>IF(TYPE="Корректировка","",IF(L87=0,"-",M87/L87))</f>
        <v/>
      </c>
      <c r="N88" s="36" t="str">
        <f>IF(TYPE="Корректировка","",IF(M87=0,"-",N87/M87))</f>
        <v/>
      </c>
      <c r="O88" s="36" t="str">
        <f>IF(TYPE="Корректировка","",IF(N87=0,"-",O87/N87))</f>
        <v/>
      </c>
      <c r="P88" s="36" t="str">
        <f>IF(TYPE="Корректировка","",IF(O87=0,"-",P87/O87))</f>
        <v/>
      </c>
      <c r="Q88" s="3"/>
      <c r="R88" s="3"/>
      <c r="S88" s="37"/>
      <c r="T88" s="3"/>
      <c r="U88" s="3"/>
      <c r="V88" s="3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</row>
    <row r="89" spans="1:248" ht="33.75" customHeight="1">
      <c r="A89" s="37" t="b">
        <f t="shared" si="6"/>
        <v>1</v>
      </c>
      <c r="B89" s="1"/>
      <c r="C89" s="1"/>
      <c r="D89" s="1"/>
      <c r="E89" s="1"/>
      <c r="F89" s="21" t="s">
        <v>48</v>
      </c>
      <c r="G89" s="58" t="s">
        <v>94</v>
      </c>
      <c r="H89" s="58" t="s">
        <v>94</v>
      </c>
      <c r="I89" s="58"/>
      <c r="J89" s="22">
        <f>[1]Показатели!O35</f>
        <v>0</v>
      </c>
      <c r="K89" s="22">
        <f>[1]Показатели!P35</f>
        <v>0</v>
      </c>
      <c r="L89" s="22">
        <f>[1]Показатели!AD35</f>
        <v>0</v>
      </c>
      <c r="M89" s="22" t="str">
        <f>IF(TYPE="Корректировка","",[1]Показатели!AE35)</f>
        <v/>
      </c>
      <c r="N89" s="22" t="str">
        <f>IF(TYPE="Корректировка","",[1]Показатели!AF35)</f>
        <v/>
      </c>
      <c r="O89" s="22" t="str">
        <f>IF(TYPE="Корректировка","",[1]Показатели!AG35)</f>
        <v/>
      </c>
      <c r="P89" s="22" t="str">
        <f>IF(TYPE="Корректировка","",[1]Показатели!AH35)</f>
        <v/>
      </c>
      <c r="Q89" s="3"/>
      <c r="R89" s="3"/>
      <c r="S89" s="37"/>
      <c r="T89" s="3"/>
      <c r="U89" s="3"/>
      <c r="V89" s="37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</row>
    <row r="90" spans="1:248" ht="18" customHeight="1">
      <c r="A90" s="37" t="b">
        <f t="shared" si="6"/>
        <v>1</v>
      </c>
      <c r="B90" s="1"/>
      <c r="C90" s="1"/>
      <c r="D90" s="1"/>
      <c r="E90" s="1"/>
      <c r="F90" s="21"/>
      <c r="G90" s="42" t="s">
        <v>91</v>
      </c>
      <c r="H90" s="42"/>
      <c r="I90" s="42"/>
      <c r="J90" s="36" t="s">
        <v>89</v>
      </c>
      <c r="K90" s="36" t="s">
        <v>89</v>
      </c>
      <c r="L90" s="36" t="str">
        <f>IF(K89=0,"-",L89/K89)</f>
        <v>-</v>
      </c>
      <c r="M90" s="36" t="str">
        <f>IF(TYPE="Корректировка","",IF(L89=0,"-",M89/L89))</f>
        <v/>
      </c>
      <c r="N90" s="36" t="str">
        <f>IF(TYPE="Корректировка","",IF(M89=0,"-",N89/M89))</f>
        <v/>
      </c>
      <c r="O90" s="36" t="str">
        <f>IF(TYPE="Корректировка","",IF(N89=0,"-",O89/N89))</f>
        <v/>
      </c>
      <c r="P90" s="36" t="str">
        <f>IF(TYPE="Корректировка","",IF(O89=0,"-",P89/O89))</f>
        <v/>
      </c>
      <c r="Q90" s="3"/>
      <c r="R90" s="3"/>
      <c r="S90" s="37"/>
      <c r="T90" s="3"/>
      <c r="U90" s="3"/>
      <c r="V90" s="3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</row>
    <row r="91" spans="1:248" ht="50.25" customHeight="1">
      <c r="A91" s="37" t="b">
        <f t="shared" si="6"/>
        <v>1</v>
      </c>
      <c r="B91" s="1"/>
      <c r="C91" s="1"/>
      <c r="D91" s="1"/>
      <c r="E91" s="1"/>
      <c r="F91" s="21" t="s">
        <v>57</v>
      </c>
      <c r="G91" s="58" t="s">
        <v>95</v>
      </c>
      <c r="H91" s="58" t="s">
        <v>95</v>
      </c>
      <c r="I91" s="58"/>
      <c r="J91" s="22">
        <f>[1]Показатели!O38</f>
        <v>0</v>
      </c>
      <c r="K91" s="22">
        <f>[1]Показатели!P38</f>
        <v>0</v>
      </c>
      <c r="L91" s="22">
        <f>[1]Показатели!AD38</f>
        <v>0</v>
      </c>
      <c r="M91" s="22" t="str">
        <f>IF(TYPE="Корректировка","",[1]Показатели!AE38)</f>
        <v/>
      </c>
      <c r="N91" s="22" t="str">
        <f>IF(TYPE="Корректировка","",[1]Показатели!AF38)</f>
        <v/>
      </c>
      <c r="O91" s="22" t="str">
        <f>IF(TYPE="Корректировка","",[1]Показатели!AG38)</f>
        <v/>
      </c>
      <c r="P91" s="22" t="str">
        <f>IF(TYPE="Корректировка","",[1]Показатели!AH38)</f>
        <v/>
      </c>
      <c r="Q91" s="3"/>
      <c r="R91" s="3"/>
      <c r="S91" s="37"/>
      <c r="T91" s="3"/>
      <c r="U91" s="3"/>
      <c r="V91" s="3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</row>
    <row r="92" spans="1:248" ht="18" customHeight="1">
      <c r="A92" s="37" t="b">
        <f t="shared" si="6"/>
        <v>1</v>
      </c>
      <c r="B92" s="1"/>
      <c r="C92" s="1"/>
      <c r="D92" s="1"/>
      <c r="E92" s="1"/>
      <c r="F92" s="21"/>
      <c r="G92" s="42" t="s">
        <v>91</v>
      </c>
      <c r="H92" s="42"/>
      <c r="I92" s="42"/>
      <c r="J92" s="36" t="s">
        <v>89</v>
      </c>
      <c r="K92" s="36" t="s">
        <v>89</v>
      </c>
      <c r="L92" s="36" t="str">
        <f>IF(K91=0,"-",L91/K91)</f>
        <v>-</v>
      </c>
      <c r="M92" s="36" t="str">
        <f>IF(TYPE="Корректировка","",IF(L91=0,"-",M91/L91))</f>
        <v/>
      </c>
      <c r="N92" s="36" t="str">
        <f>IF(TYPE="Корректировка","",IF(M91=0,"-",N91/M91))</f>
        <v/>
      </c>
      <c r="O92" s="36" t="str">
        <f>IF(TYPE="Корректировка","",IF(N91=0,"-",O91/N91))</f>
        <v/>
      </c>
      <c r="P92" s="36" t="str">
        <f>IF(TYPE="Корректировка","",IF(O91=0,"-",P91/O91))</f>
        <v/>
      </c>
      <c r="Q92" s="3"/>
      <c r="R92" s="3"/>
      <c r="S92" s="37"/>
      <c r="T92" s="3"/>
      <c r="U92" s="3"/>
      <c r="V92" s="3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</row>
    <row r="93" spans="1:248" ht="16.5" customHeight="1">
      <c r="A93" s="1"/>
      <c r="B93" s="1"/>
      <c r="C93" s="1"/>
      <c r="D93" s="1"/>
      <c r="E93" s="1"/>
      <c r="F93" s="11" t="s">
        <v>17</v>
      </c>
      <c r="G93" s="62" t="s">
        <v>96</v>
      </c>
      <c r="H93" s="62"/>
      <c r="I93" s="62"/>
      <c r="J93" s="62"/>
      <c r="K93" s="62"/>
      <c r="L93" s="62"/>
      <c r="M93" s="62"/>
      <c r="N93" s="62"/>
      <c r="O93" s="62"/>
      <c r="P93" s="62"/>
      <c r="Q93" s="3"/>
      <c r="R93" s="3"/>
      <c r="S93" s="1"/>
      <c r="T93" s="3"/>
      <c r="U93" s="3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</row>
    <row r="94" spans="1:248" ht="92.25" customHeight="1">
      <c r="A94" s="1"/>
      <c r="B94" s="1"/>
      <c r="C94" s="1"/>
      <c r="D94" s="1"/>
      <c r="E94" s="1"/>
      <c r="F94" s="44" t="s">
        <v>60</v>
      </c>
      <c r="G94" s="52" t="str">
        <f>IF(sphere = "Водоснабжение","Количество перерывов в подаче воды, зафиксированных в местах исполнения обязательств организацией, осуществляющей холодное"&amp;" водоснабжение, возникших в результате аварий, повреждений и иных технологических нарушений на объектах ЦС ХВС в расчете на протяженность водопроводной сети в год, ед./км","Удельное количество аварий и засоров в расчете на протяженность сети в год, ед./км")</f>
        <v>Удельное количество аварий и засоров в расчете на протяженность сети в год, ед./км</v>
      </c>
      <c r="H94" s="52"/>
      <c r="I94" s="52"/>
      <c r="J94" s="22">
        <f>[1]Показатели!O42</f>
        <v>23.364485981308409</v>
      </c>
      <c r="K94" s="22">
        <f>[1]Показатели!P42</f>
        <v>28.037383177570092</v>
      </c>
      <c r="L94" s="22">
        <f>[1]Показатели!AD42</f>
        <v>18.72308556450103</v>
      </c>
      <c r="M94" s="22" t="str">
        <f>IF(TYPE="Корректировка","",[1]Показатели!AE42)</f>
        <v/>
      </c>
      <c r="N94" s="22" t="str">
        <f>IF(TYPE="Корректировка","",[1]Показатели!AF42)</f>
        <v/>
      </c>
      <c r="O94" s="22" t="str">
        <f>IF(TYPE="Корректировка","",[1]Показатели!AG42)</f>
        <v/>
      </c>
      <c r="P94" s="22" t="str">
        <f>IF(TYPE="Корректировка","",[1]Показатели!AH42)</f>
        <v/>
      </c>
      <c r="Q94" s="3"/>
      <c r="R94" s="3"/>
      <c r="S94" s="1"/>
      <c r="T94" s="3"/>
      <c r="U94" s="3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</row>
    <row r="95" spans="1:248" ht="18" customHeight="1">
      <c r="A95" s="1"/>
      <c r="B95" s="1"/>
      <c r="C95" s="1"/>
      <c r="D95" s="1"/>
      <c r="E95" s="1"/>
      <c r="F95" s="44"/>
      <c r="G95" s="54" t="s">
        <v>88</v>
      </c>
      <c r="H95" s="54"/>
      <c r="I95" s="54"/>
      <c r="J95" s="36" t="s">
        <v>89</v>
      </c>
      <c r="K95" s="36" t="s">
        <v>89</v>
      </c>
      <c r="L95" s="36">
        <f>IF(K94=0,"-",L94/K94)</f>
        <v>0.66779005180053674</v>
      </c>
      <c r="M95" s="36" t="str">
        <f>IF(TYPE="Корректировка","",IF(L94=0,"-",M94/L94))</f>
        <v/>
      </c>
      <c r="N95" s="36" t="str">
        <f>IF(TYPE="Корректировка","",IF(M94=0,"-",N94/M94))</f>
        <v/>
      </c>
      <c r="O95" s="36" t="str">
        <f>IF(TYPE="Корректировка","",IF(N94=0,"-",O94/N94))</f>
        <v/>
      </c>
      <c r="P95" s="36" t="str">
        <f>IF(TYPE="Корректировка","",IF(O94=0,"-",P94/O94))</f>
        <v/>
      </c>
      <c r="Q95" s="3"/>
      <c r="R95" s="3"/>
      <c r="S95" s="1"/>
      <c r="T95" s="3"/>
      <c r="U95" s="3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</row>
    <row r="96" spans="1:248" ht="16.5" customHeight="1">
      <c r="A96" s="1"/>
      <c r="B96" s="1"/>
      <c r="C96" s="1"/>
      <c r="D96" s="1"/>
      <c r="E96" s="1"/>
      <c r="F96" s="11" t="s">
        <v>19</v>
      </c>
      <c r="G96" s="52" t="s">
        <v>97</v>
      </c>
      <c r="H96" s="52"/>
      <c r="I96" s="52"/>
      <c r="J96" s="52"/>
      <c r="K96" s="52"/>
      <c r="L96" s="52"/>
      <c r="M96" s="52"/>
      <c r="N96" s="52"/>
      <c r="O96" s="52"/>
      <c r="P96" s="52"/>
      <c r="Q96" s="3"/>
      <c r="R96" s="3"/>
      <c r="S96" s="1"/>
      <c r="T96" s="3"/>
      <c r="U96" s="3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</row>
    <row r="97" spans="1:248" ht="30.75" hidden="1" customHeight="1">
      <c r="A97" s="37" t="b">
        <f>AND(sphere = "Водоснабжение")</f>
        <v>0</v>
      </c>
      <c r="B97" s="1"/>
      <c r="C97" s="1"/>
      <c r="D97" s="1"/>
      <c r="E97" s="1"/>
      <c r="F97" s="44" t="s">
        <v>98</v>
      </c>
      <c r="G97" s="52" t="s">
        <v>99</v>
      </c>
      <c r="H97" s="52"/>
      <c r="I97" s="52"/>
      <c r="J97" s="22">
        <f>[1]Показатели!O46</f>
        <v>0</v>
      </c>
      <c r="K97" s="22">
        <f>[1]Показатели!P46</f>
        <v>0</v>
      </c>
      <c r="L97" s="22">
        <f>[1]Показатели!AD46</f>
        <v>0</v>
      </c>
      <c r="M97" s="22" t="str">
        <f>IF(TYPE="Корректировка","",[1]Показатели!AE46)</f>
        <v/>
      </c>
      <c r="N97" s="22" t="str">
        <f>IF(TYPE="Корректировка","",[1]Показатели!AF46)</f>
        <v/>
      </c>
      <c r="O97" s="22" t="str">
        <f>IF(TYPE="Корректировка","",[1]Показатели!AG46)</f>
        <v/>
      </c>
      <c r="P97" s="22" t="str">
        <f>IF(TYPE="Корректировка","",[1]Показатели!AH46)</f>
        <v/>
      </c>
      <c r="Q97" s="3"/>
      <c r="R97" s="3"/>
      <c r="S97" s="37"/>
      <c r="T97" s="3"/>
      <c r="U97" s="3"/>
      <c r="V97" s="3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</row>
    <row r="98" spans="1:248" ht="18" hidden="1" customHeight="1">
      <c r="A98" s="37" t="b">
        <f>AND(sphere = "Водоснабжение")</f>
        <v>0</v>
      </c>
      <c r="B98" s="1"/>
      <c r="C98" s="1"/>
      <c r="D98" s="1"/>
      <c r="E98" s="1"/>
      <c r="F98" s="44"/>
      <c r="G98" s="54" t="s">
        <v>88</v>
      </c>
      <c r="H98" s="54"/>
      <c r="I98" s="54"/>
      <c r="J98" s="36" t="s">
        <v>89</v>
      </c>
      <c r="K98" s="36" t="s">
        <v>89</v>
      </c>
      <c r="L98" s="36" t="str">
        <f>IF(K97=0,"-",L97/K97)</f>
        <v>-</v>
      </c>
      <c r="M98" s="36" t="str">
        <f>IF(TYPE="Корректировка","",IF(L97=0,"-",M97/L97))</f>
        <v/>
      </c>
      <c r="N98" s="36" t="str">
        <f>IF(TYPE="Корректировка","",IF(M97=0,"-",N97/M97))</f>
        <v/>
      </c>
      <c r="O98" s="36" t="str">
        <f>IF(TYPE="Корректировка","",IF(N97=0,"-",O97/N97))</f>
        <v/>
      </c>
      <c r="P98" s="36" t="str">
        <f>IF(TYPE="Корректировка","",IF(O97=0,"-",P97/O97))</f>
        <v/>
      </c>
      <c r="Q98" s="3"/>
      <c r="R98" s="3"/>
      <c r="S98" s="37"/>
      <c r="T98" s="3"/>
      <c r="U98" s="3"/>
      <c r="V98" s="3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</row>
    <row r="99" spans="1:248" ht="48" customHeight="1">
      <c r="A99" s="1"/>
      <c r="B99" s="1"/>
      <c r="C99" s="1"/>
      <c r="D99" s="1"/>
      <c r="E99" s="1"/>
      <c r="F99" s="44" t="str">
        <f>IF(sphere = "Водоснабжение","3.2","3.1")</f>
        <v>3.1</v>
      </c>
      <c r="G99" s="52" t="str">
        <f>"Удельный расход электрической энергии, потребляемой в технологическом процессе "&amp;IF(sphere = "Водоснабжение","подготовки питьевой воды, на единицу объема воды, отпускаемой в сеть, кВт*ч/ куб.м","очистки сточных вод, на единицу объема очищаемых сточных вод, кВт*ч/ куб.м")</f>
        <v>Удельный расход электрической энергии, потребляемой в технологическом процессе очистки сточных вод, на единицу объема очищаемых сточных вод, кВт*ч/ куб.м</v>
      </c>
      <c r="H99" s="52"/>
      <c r="I99" s="52"/>
      <c r="J99" s="22">
        <f>[1]Показатели!O49</f>
        <v>0</v>
      </c>
      <c r="K99" s="22">
        <f>[1]Показатели!P49</f>
        <v>0</v>
      </c>
      <c r="L99" s="22">
        <f>[1]Показатели!AD49</f>
        <v>0</v>
      </c>
      <c r="M99" s="22" t="str">
        <f>IF(TYPE="Корректировка","",[1]Показатели!AE49)</f>
        <v/>
      </c>
      <c r="N99" s="22" t="str">
        <f>IF(TYPE="Корректировка","",[1]Показатели!AF49)</f>
        <v/>
      </c>
      <c r="O99" s="22" t="str">
        <f>IF(TYPE="Корректировка","",[1]Показатели!AG49)</f>
        <v/>
      </c>
      <c r="P99" s="22" t="str">
        <f>IF(TYPE="Корректировка","",[1]Показатели!AH49)</f>
        <v/>
      </c>
      <c r="Q99" s="3"/>
      <c r="R99" s="3"/>
      <c r="S99" s="1"/>
      <c r="T99" s="3"/>
      <c r="U99" s="3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</row>
    <row r="100" spans="1:248" ht="18" customHeight="1">
      <c r="A100" s="1"/>
      <c r="B100" s="1"/>
      <c r="C100" s="1"/>
      <c r="D100" s="1"/>
      <c r="E100" s="1"/>
      <c r="F100" s="44"/>
      <c r="G100" s="54" t="s">
        <v>88</v>
      </c>
      <c r="H100" s="54"/>
      <c r="I100" s="54"/>
      <c r="J100" s="36" t="s">
        <v>89</v>
      </c>
      <c r="K100" s="36" t="s">
        <v>89</v>
      </c>
      <c r="L100" s="36" t="str">
        <f>IF(ROUND(K99,4)=0,"-",L99/K99)</f>
        <v>-</v>
      </c>
      <c r="M100" s="36" t="str">
        <f>IF(TYPE="Корректировка","",IF(ROUND(L99,4)=0,"-",M99/L99))</f>
        <v/>
      </c>
      <c r="N100" s="36" t="str">
        <f>IF(TYPE="Корректировка","",IF(ROUND(M99,4)=0,"-",N99/M99))</f>
        <v/>
      </c>
      <c r="O100" s="36" t="str">
        <f>IF(TYPE="Корректировка","",IF(ROUND(N99,4)=0,"-",O99/N99))</f>
        <v/>
      </c>
      <c r="P100" s="36" t="str">
        <f>IF(TYPE="Корректировка","",IF(ROUND(O99,4)=0,"-",P99/O99))</f>
        <v/>
      </c>
      <c r="Q100" s="3"/>
      <c r="R100" s="3"/>
      <c r="S100" s="1"/>
      <c r="T100" s="3"/>
      <c r="U100" s="3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</row>
    <row r="101" spans="1:248" ht="48" customHeight="1">
      <c r="A101" s="1"/>
      <c r="B101" s="1"/>
      <c r="C101" s="1"/>
      <c r="D101" s="1"/>
      <c r="E101" s="1"/>
      <c r="F101" s="44" t="str">
        <f>IF(sphere = "Водоснабжение","3.3","3.2")</f>
        <v>3.2</v>
      </c>
      <c r="G101" s="52" t="str">
        <f>"Удельный расход электрической энергии, потребляемой в технологическом процессе транспортировки "&amp;IF(sphere = "Водоснабжение","питьевой воды, на единицу объема транспортируемой воды (если у организации на сетях есть ПВНС или НС), кВт*ч/ куб.м","сточных вод, на единицу объема транспортируемых сточных вод, кВт*ч/ куб.м")</f>
        <v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вод, кВт*ч/ куб.м</v>
      </c>
      <c r="H101" s="52"/>
      <c r="I101" s="52"/>
      <c r="J101" s="22">
        <f>[1]Показатели!O52</f>
        <v>0</v>
      </c>
      <c r="K101" s="22">
        <f>[1]Показатели!P52</f>
        <v>0</v>
      </c>
      <c r="L101" s="22">
        <f>[1]Показатели!AD52</f>
        <v>0</v>
      </c>
      <c r="M101" s="22" t="str">
        <f>IF(TYPE="Корректировка","",[1]Показатели!AE52)</f>
        <v/>
      </c>
      <c r="N101" s="22" t="str">
        <f>IF(TYPE="Корректировка","",[1]Показатели!AF52)</f>
        <v/>
      </c>
      <c r="O101" s="22" t="str">
        <f>IF(TYPE="Корректировка","",[1]Показатели!AG52)</f>
        <v/>
      </c>
      <c r="P101" s="22" t="str">
        <f>IF(TYPE="Корректировка","",[1]Показатели!AH52)</f>
        <v/>
      </c>
      <c r="Q101" s="3"/>
      <c r="R101" s="3"/>
      <c r="S101" s="1"/>
      <c r="T101" s="3"/>
      <c r="U101" s="3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</row>
    <row r="102" spans="1:248" ht="18" customHeight="1">
      <c r="A102" s="1"/>
      <c r="B102" s="1"/>
      <c r="C102" s="1"/>
      <c r="D102" s="1"/>
      <c r="E102" s="1"/>
      <c r="F102" s="44"/>
      <c r="G102" s="54" t="s">
        <v>88</v>
      </c>
      <c r="H102" s="54"/>
      <c r="I102" s="54"/>
      <c r="J102" s="36" t="s">
        <v>89</v>
      </c>
      <c r="K102" s="36" t="s">
        <v>89</v>
      </c>
      <c r="L102" s="36" t="str">
        <f>IF(K101=0,"-",L101/K101)</f>
        <v>-</v>
      </c>
      <c r="M102" s="36" t="str">
        <f>IF(TYPE="Корректировка","",IF(L101=0,"-",M101/L101))</f>
        <v/>
      </c>
      <c r="N102" s="36" t="str">
        <f>IF(TYPE="Корректировка","",IF(M101=0,"-",N101/M101))</f>
        <v/>
      </c>
      <c r="O102" s="36" t="str">
        <f>IF(TYPE="Корректировка","",IF(N101=0,"-",O101/N101))</f>
        <v/>
      </c>
      <c r="P102" s="36" t="str">
        <f>IF(TYPE="Корректировка","",IF(O101=0,"-",P101/O101))</f>
        <v/>
      </c>
      <c r="Q102" s="3"/>
      <c r="R102" s="3"/>
      <c r="S102" s="1"/>
      <c r="T102" s="3"/>
      <c r="U102" s="3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</row>
    <row r="103" spans="1:248" ht="37.5" customHeight="1">
      <c r="A103" s="32"/>
      <c r="B103" s="1"/>
      <c r="C103" s="1"/>
      <c r="D103" s="1"/>
      <c r="E103" s="1"/>
      <c r="F103" s="17" t="s">
        <v>100</v>
      </c>
      <c r="G103" s="64" t="s">
        <v>101</v>
      </c>
      <c r="H103" s="64"/>
      <c r="I103" s="64"/>
      <c r="J103" s="64"/>
      <c r="K103" s="64"/>
      <c r="L103" s="64"/>
      <c r="M103" s="64"/>
      <c r="N103" s="64"/>
      <c r="O103" s="64"/>
      <c r="P103" s="64"/>
      <c r="Q103" s="33"/>
      <c r="R103" s="33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  <c r="HO103" s="32"/>
      <c r="HP103" s="32"/>
      <c r="HQ103" s="32"/>
      <c r="HR103" s="32"/>
      <c r="HS103" s="32"/>
      <c r="HT103" s="32"/>
      <c r="HU103" s="32"/>
      <c r="HV103" s="32"/>
      <c r="HW103" s="32"/>
      <c r="HX103" s="32"/>
      <c r="HY103" s="32"/>
      <c r="HZ103" s="32"/>
      <c r="IA103" s="32"/>
      <c r="IB103" s="32"/>
      <c r="IC103" s="32"/>
      <c r="ID103" s="32"/>
      <c r="IE103" s="32"/>
      <c r="IF103" s="32"/>
      <c r="IG103" s="32"/>
      <c r="IH103" s="32"/>
      <c r="II103" s="32"/>
      <c r="IJ103" s="32"/>
      <c r="IK103" s="32"/>
      <c r="IL103" s="32"/>
      <c r="IM103" s="32"/>
      <c r="IN103" s="32"/>
    </row>
    <row r="104" spans="1:248" ht="58.5" customHeight="1">
      <c r="A104" s="32"/>
      <c r="B104" s="1"/>
      <c r="C104" s="1"/>
      <c r="D104" s="1"/>
      <c r="E104" s="1"/>
      <c r="F104" s="65" t="str">
        <f>IF(sphere="Водоснабжение", "Мероприятия по текущему ремонту выполнены в полном объеме." &amp;" Производственная программа за истекший период регулирования не содержала мероприятий, направленных на улучшение качества питьевой воды," &amp;" мероприятий по энергосбережению и повышению энергетической эффективности, в том числе по снижению потерь воды при транспортировке, мероприятий," &amp;" направленных на повышение качества обслуживания абонентов.", "Мероприятия по текущему ремонту выполнены в полном объеме."&amp;" Производственная программа за истекший период регулирования не содержала мероприятий по ремонту объектов" &amp;" централизованных систем  водоотведения, мероприятий, направленных на улучшение качества очистки сточных вод, мероприятий по энергосбережению и повышению" &amp;" энергетической эффективности, мероприятий, направленных на повышение качества обслуживания абонентов.")</f>
        <v>Мероприятия по текущему ремонту выполнены в полном объеме. Производственная программа за истекший период регулирования не содержала мероприятий по ремонту объектов централизованных систем  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эффективности, мероприятий, направленных на повышение качества обслуживания абонентов.</v>
      </c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33" t="s">
        <v>102</v>
      </c>
      <c r="R104" s="33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  <c r="HO104" s="32"/>
      <c r="HP104" s="32"/>
      <c r="HQ104" s="32"/>
      <c r="HR104" s="32"/>
      <c r="HS104" s="32"/>
      <c r="HT104" s="32"/>
      <c r="HU104" s="32"/>
      <c r="HV104" s="32"/>
      <c r="HW104" s="32"/>
      <c r="HX104" s="32"/>
      <c r="HY104" s="32"/>
      <c r="HZ104" s="32"/>
      <c r="IA104" s="32"/>
      <c r="IB104" s="32"/>
      <c r="IC104" s="32"/>
      <c r="ID104" s="32"/>
      <c r="IE104" s="32"/>
      <c r="IF104" s="32"/>
      <c r="IG104" s="32"/>
      <c r="IH104" s="32"/>
      <c r="II104" s="32"/>
      <c r="IJ104" s="32"/>
      <c r="IK104" s="32"/>
      <c r="IL104" s="32"/>
      <c r="IM104" s="32"/>
      <c r="IN104" s="32"/>
    </row>
    <row r="105" spans="1:248" ht="45" customHeight="1">
      <c r="A105" s="32"/>
      <c r="B105" s="1"/>
      <c r="C105" s="1"/>
      <c r="D105" s="1"/>
      <c r="E105" s="1"/>
      <c r="F105" s="58" t="s">
        <v>103</v>
      </c>
      <c r="G105" s="58"/>
      <c r="H105" s="58"/>
      <c r="I105" s="58"/>
      <c r="J105" s="58"/>
      <c r="K105" s="58"/>
      <c r="L105" s="58"/>
      <c r="M105" s="66">
        <f>'[1]Расчет тарифа(корректировка) МИ'!J52</f>
        <v>558.29199999999992</v>
      </c>
      <c r="N105" s="66"/>
      <c r="O105" s="43" t="s">
        <v>72</v>
      </c>
      <c r="P105" s="43"/>
      <c r="Q105" s="33"/>
      <c r="R105" s="33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  <c r="II105" s="32"/>
      <c r="IJ105" s="32"/>
      <c r="IK105" s="32"/>
      <c r="IL105" s="32"/>
      <c r="IM105" s="32"/>
      <c r="IN105" s="32"/>
    </row>
    <row r="106" spans="1:248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</row>
    <row r="107" spans="1:248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</row>
    <row r="108" spans="1:248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</row>
    <row r="109" spans="1:248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</row>
    <row r="110" spans="1:248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</row>
    <row r="111" spans="1:248">
      <c r="A111" s="1"/>
      <c r="B111" s="1"/>
      <c r="C111" s="2"/>
      <c r="D111" s="3"/>
      <c r="E111" s="3"/>
      <c r="F111" s="3"/>
      <c r="G111" s="38"/>
      <c r="H111" s="39"/>
      <c r="I111" s="63"/>
      <c r="J111" s="63"/>
      <c r="K111" s="3"/>
      <c r="L111" s="3"/>
      <c r="M111" s="3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</row>
  </sheetData>
  <sheetProtection formatColumns="0" formatRows="0" autoFilter="0"/>
  <mergeCells count="125">
    <mergeCell ref="I111:J111"/>
    <mergeCell ref="F101:F102"/>
    <mergeCell ref="G101:I101"/>
    <mergeCell ref="G102:I102"/>
    <mergeCell ref="G103:P103"/>
    <mergeCell ref="F104:P104"/>
    <mergeCell ref="F105:L105"/>
    <mergeCell ref="M105:N105"/>
    <mergeCell ref="O105:P105"/>
    <mergeCell ref="G96:P96"/>
    <mergeCell ref="F97:F98"/>
    <mergeCell ref="G97:I97"/>
    <mergeCell ref="G98:I98"/>
    <mergeCell ref="F99:F100"/>
    <mergeCell ref="G99:I99"/>
    <mergeCell ref="G100:I100"/>
    <mergeCell ref="G89:I89"/>
    <mergeCell ref="G90:I90"/>
    <mergeCell ref="G91:I91"/>
    <mergeCell ref="G92:I92"/>
    <mergeCell ref="G93:P93"/>
    <mergeCell ref="F94:F95"/>
    <mergeCell ref="G94:I94"/>
    <mergeCell ref="G95:I95"/>
    <mergeCell ref="F84:F85"/>
    <mergeCell ref="G84:I84"/>
    <mergeCell ref="G85:I85"/>
    <mergeCell ref="G86:P86"/>
    <mergeCell ref="G87:I87"/>
    <mergeCell ref="G88:I88"/>
    <mergeCell ref="G77:P77"/>
    <mergeCell ref="G78:P78"/>
    <mergeCell ref="G79:P79"/>
    <mergeCell ref="G80:I80"/>
    <mergeCell ref="G81:P81"/>
    <mergeCell ref="F82:F83"/>
    <mergeCell ref="G82:I82"/>
    <mergeCell ref="G83:I83"/>
    <mergeCell ref="N74:O74"/>
    <mergeCell ref="H75:I75"/>
    <mergeCell ref="J75:K75"/>
    <mergeCell ref="L75:M75"/>
    <mergeCell ref="N75:O75"/>
    <mergeCell ref="F76:G76"/>
    <mergeCell ref="H76:I76"/>
    <mergeCell ref="J76:K76"/>
    <mergeCell ref="L76:M76"/>
    <mergeCell ref="N76:O76"/>
    <mergeCell ref="F70:G73"/>
    <mergeCell ref="H70:J73"/>
    <mergeCell ref="F74:G75"/>
    <mergeCell ref="H74:I74"/>
    <mergeCell ref="J74:K74"/>
    <mergeCell ref="L74:M74"/>
    <mergeCell ref="F64:G67"/>
    <mergeCell ref="H64:J67"/>
    <mergeCell ref="F68:G69"/>
    <mergeCell ref="I68:J68"/>
    <mergeCell ref="L68:M68"/>
    <mergeCell ref="O68:P68"/>
    <mergeCell ref="I69:J69"/>
    <mergeCell ref="L69:M69"/>
    <mergeCell ref="F62:G63"/>
    <mergeCell ref="I62:J62"/>
    <mergeCell ref="L62:M62"/>
    <mergeCell ref="O62:P62"/>
    <mergeCell ref="I63:J63"/>
    <mergeCell ref="L63:M63"/>
    <mergeCell ref="G56:H56"/>
    <mergeCell ref="G57:H57"/>
    <mergeCell ref="G58:H58"/>
    <mergeCell ref="G59:H59"/>
    <mergeCell ref="G60:H60"/>
    <mergeCell ref="G61:P61"/>
    <mergeCell ref="G47:H47"/>
    <mergeCell ref="M47:P60"/>
    <mergeCell ref="G48:H48"/>
    <mergeCell ref="G49:H49"/>
    <mergeCell ref="G50:H50"/>
    <mergeCell ref="G51:H51"/>
    <mergeCell ref="G52:H52"/>
    <mergeCell ref="G53:H53"/>
    <mergeCell ref="G54:H54"/>
    <mergeCell ref="G55:H55"/>
    <mergeCell ref="G41:H41"/>
    <mergeCell ref="G42:H42"/>
    <mergeCell ref="G43:H43"/>
    <mergeCell ref="Q43:R46"/>
    <mergeCell ref="G44:H44"/>
    <mergeCell ref="G45:H45"/>
    <mergeCell ref="G46:H46"/>
    <mergeCell ref="G33:H33"/>
    <mergeCell ref="M33:P46"/>
    <mergeCell ref="Q33:R42"/>
    <mergeCell ref="G34:H34"/>
    <mergeCell ref="G35:H35"/>
    <mergeCell ref="G36:H36"/>
    <mergeCell ref="G37:H37"/>
    <mergeCell ref="G38:H38"/>
    <mergeCell ref="G39:H39"/>
    <mergeCell ref="G40:H40"/>
    <mergeCell ref="H30:P30"/>
    <mergeCell ref="G31:P31"/>
    <mergeCell ref="G32:H32"/>
    <mergeCell ref="I32:J32"/>
    <mergeCell ref="K32:L32"/>
    <mergeCell ref="M32:P32"/>
    <mergeCell ref="H24:P24"/>
    <mergeCell ref="H25:P25"/>
    <mergeCell ref="H26:P26"/>
    <mergeCell ref="H27:P27"/>
    <mergeCell ref="H28:P28"/>
    <mergeCell ref="H29:P29"/>
    <mergeCell ref="G18:P18"/>
    <mergeCell ref="H19:P19"/>
    <mergeCell ref="H20:P20"/>
    <mergeCell ref="H21:P21"/>
    <mergeCell ref="H22:P22"/>
    <mergeCell ref="H23:P23"/>
    <mergeCell ref="L12:P12"/>
    <mergeCell ref="F13:P13"/>
    <mergeCell ref="H14:P14"/>
    <mergeCell ref="H15:P15"/>
    <mergeCell ref="H16:P16"/>
    <mergeCell ref="H17:P17"/>
  </mergeCells>
  <printOptions horizontalCentered="1"/>
  <pageMargins left="0.62992125984251968" right="0.43307086614173229" top="0.35433070866141736" bottom="0.35433070866141736" header="0.31496062992125984" footer="0.31496062992125984"/>
  <pageSetup paperSize="9" scale="59" fitToHeight="0" orientation="portrait" r:id="rId1"/>
  <headerFooter alignWithMargins="0"/>
  <rowBreaks count="1" manualBreakCount="1">
    <brk id="60" min="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ПП ХВС (ВО)</vt:lpstr>
      <vt:lpstr>END_COLUMN_PP_HVS_VO</vt:lpstr>
      <vt:lpstr>END_ROW_PP_HVS_VO</vt:lpstr>
      <vt:lpstr>'ПП ХВС (ВО)'!Область_печати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Павловна Кафтанникова</dc:creator>
  <cp:lastModifiedBy>User</cp:lastModifiedBy>
  <dcterms:created xsi:type="dcterms:W3CDTF">2019-09-18T06:26:45Z</dcterms:created>
  <dcterms:modified xsi:type="dcterms:W3CDTF">2020-04-16T12:27:14Z</dcterms:modified>
</cp:coreProperties>
</file>